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AquestLlibreDeTreball" defaultThemeVersion="124226"/>
  <bookViews>
    <workbookView xWindow="120" yWindow="120" windowWidth="15180" windowHeight="8835" firstSheet="1" activeTab="1"/>
  </bookViews>
  <sheets>
    <sheet name="Instruccions d'ús" sheetId="7" r:id="rId1"/>
    <sheet name="Càlculs" sheetId="2" r:id="rId2"/>
    <sheet name="Criteris" sheetId="3" state="hidden" r:id="rId3"/>
    <sheet name="Gràfic MB dues lactacions" sheetId="4" r:id="rId4"/>
    <sheet name="Gràfic MB mensual 2 lactacions" sheetId="5" r:id="rId5"/>
    <sheet name="Gràfic MB_litre dues lactacions" sheetId="6" r:id="rId6"/>
    <sheet name="Dades gràfics" sheetId="1" state="hidden" r:id="rId7"/>
  </sheets>
  <calcPr calcId="125725"/>
</workbook>
</file>

<file path=xl/calcChain.xml><?xml version="1.0" encoding="utf-8"?>
<calcChain xmlns="http://schemas.openxmlformats.org/spreadsheetml/2006/main">
  <c r="C11" i="2"/>
  <c r="D6"/>
  <c r="C9" s="1"/>
  <c r="B12"/>
  <c r="C12" s="1"/>
  <c r="B17"/>
  <c r="B13"/>
  <c r="B18"/>
  <c r="B14"/>
  <c r="B19"/>
  <c r="B15"/>
  <c r="B20"/>
  <c r="F20" s="1"/>
  <c r="F19"/>
  <c r="F18"/>
  <c r="F17"/>
  <c r="F7"/>
  <c r="B6"/>
  <c r="C17" l="1"/>
  <c r="D17" s="1"/>
  <c r="E17" s="1"/>
  <c r="B27" s="1"/>
  <c r="C27" s="1"/>
  <c r="D27" s="1"/>
  <c r="B3" i="1" s="1"/>
  <c r="C13" i="2"/>
  <c r="C18" s="1"/>
  <c r="C14"/>
  <c r="C19" s="1"/>
  <c r="C15"/>
  <c r="C20" s="1"/>
  <c r="C16"/>
  <c r="D16"/>
  <c r="E16" s="1"/>
  <c r="B26" s="1"/>
  <c r="C26" s="1"/>
  <c r="D26" s="1"/>
  <c r="E26" s="1"/>
  <c r="E27"/>
  <c r="D19" l="1"/>
  <c r="E19" s="1"/>
  <c r="B29" s="1"/>
  <c r="C29" s="1"/>
  <c r="D29" s="1"/>
  <c r="D18"/>
  <c r="E18" s="1"/>
  <c r="B28" s="1"/>
  <c r="C28" s="1"/>
  <c r="D28" s="1"/>
  <c r="E28" s="1"/>
  <c r="B2" i="1"/>
  <c r="D20" i="2"/>
  <c r="E20" s="1"/>
  <c r="B30" s="1"/>
  <c r="C30" s="1"/>
  <c r="D30" s="1"/>
  <c r="B5" i="1"/>
  <c r="E29" i="2"/>
  <c r="F29" s="1"/>
  <c r="B4" i="1"/>
  <c r="F26" i="2"/>
  <c r="C2" i="1"/>
  <c r="F27" i="2"/>
  <c r="C3" i="1"/>
  <c r="C5" l="1"/>
  <c r="E30" i="2"/>
  <c r="B6" i="1"/>
  <c r="G26" i="2"/>
  <c r="E2" i="1" s="1"/>
  <c r="D2"/>
  <c r="G27" i="2"/>
  <c r="E3" i="1" s="1"/>
  <c r="D3"/>
  <c r="G29" i="2"/>
  <c r="E5" i="1" s="1"/>
  <c r="D5"/>
  <c r="F28" i="2"/>
  <c r="C4" i="1"/>
  <c r="F30" i="2" l="1"/>
  <c r="C6" i="1"/>
  <c r="G28" i="2"/>
  <c r="E4" i="1" s="1"/>
  <c r="D4"/>
  <c r="G30" i="2" l="1"/>
  <c r="E6" i="1" s="1"/>
  <c r="D6"/>
</calcChain>
</file>

<file path=xl/sharedStrings.xml><?xml version="1.0" encoding="utf-8"?>
<sst xmlns="http://schemas.openxmlformats.org/spreadsheetml/2006/main" count="38" uniqueCount="35">
  <si>
    <t>Paritat</t>
  </si>
  <si>
    <t>Pic lactació</t>
  </si>
  <si>
    <t>Taxa de greix estàndard</t>
  </si>
  <si>
    <t>primipara</t>
  </si>
  <si>
    <t>multipara</t>
  </si>
  <si>
    <t xml:space="preserve"> </t>
  </si>
  <si>
    <t>-</t>
  </si>
  <si>
    <t>Dies de lactació (entre 180 i 400), mitjana</t>
  </si>
  <si>
    <t>Taxa de greix mitjà, %</t>
  </si>
  <si>
    <t>Producció total dues lactacions</t>
  </si>
  <si>
    <t>Producció total una lactació</t>
  </si>
  <si>
    <t>Mesos lactació</t>
  </si>
  <si>
    <t>€</t>
  </si>
  <si>
    <t>Pta</t>
  </si>
  <si>
    <t>Marge brut 2 lactacions/vaca (només alimentació)</t>
  </si>
  <si>
    <t>Marge brut/mes i vaca (només alimentació)</t>
  </si>
  <si>
    <t>Marge brut/dia i vaca (només alimentació)</t>
  </si>
  <si>
    <t>Marge brut/litre (només alimentació)</t>
  </si>
  <si>
    <t>Interval entre parts en mesos, entre 12 i 16</t>
  </si>
  <si>
    <t>IP</t>
  </si>
  <si>
    <t>Interval entre parts</t>
  </si>
  <si>
    <t>Producció total 10è mes lactació, IP &gt;= 12</t>
  </si>
  <si>
    <t>Càlcul de la producció estimada de la lactació, segons intervals entre parts (IP), en mesos</t>
  </si>
  <si>
    <t xml:space="preserve">Simulació del marge brut segons interval entre parts d’una vaca </t>
  </si>
  <si>
    <t>Cost alimentació vaca i dia, en €</t>
  </si>
  <si>
    <t>Preu de la llet estàndard, en cts €/litre</t>
  </si>
  <si>
    <t>Ingressos 2 lactacions per vaca, €</t>
  </si>
  <si>
    <t>Cost alimentació € 2 lactacions/vaca</t>
  </si>
  <si>
    <t>Simulació MB parcial (ingressos venda llet - costos alimentació)</t>
  </si>
  <si>
    <t xml:space="preserve">Marge brut € 2 lactacions/vaca </t>
  </si>
  <si>
    <t xml:space="preserve">Marge brut €/mes i vaca </t>
  </si>
  <si>
    <t xml:space="preserve">Marge brut €/dia i vaca </t>
  </si>
  <si>
    <t xml:space="preserve">Marge brut/litre </t>
  </si>
  <si>
    <t>Grup de Remugants</t>
  </si>
  <si>
    <t>Producció diària 10è mes lactació, 12 &lt; = IP&lt; 13</t>
  </si>
</sst>
</file>

<file path=xl/styles.xml><?xml version="1.0" encoding="utf-8"?>
<styleSheet xmlns="http://schemas.openxmlformats.org/spreadsheetml/2006/main">
  <numFmts count="1">
    <numFmt numFmtId="164" formatCode="0.0000"/>
  </numFmts>
  <fonts count="16">
    <font>
      <sz val="10"/>
      <name val="Arial"/>
    </font>
    <font>
      <sz val="8"/>
      <name val="Arial"/>
      <family val="2"/>
    </font>
    <font>
      <i/>
      <sz val="10"/>
      <name val="Arial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</font>
    <font>
      <b/>
      <sz val="12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3" fillId="2" borderId="0" xfId="0" applyFont="1" applyFill="1" applyBorder="1" applyAlignment="1"/>
    <xf numFmtId="0" fontId="5" fillId="2" borderId="0" xfId="0" applyFont="1" applyFill="1" applyBorder="1"/>
    <xf numFmtId="0" fontId="5" fillId="0" borderId="0" xfId="0" applyFont="1" applyBorder="1"/>
    <xf numFmtId="0" fontId="5" fillId="0" borderId="6" xfId="0" applyFont="1" applyBorder="1" applyProtection="1">
      <protection locked="0"/>
    </xf>
    <xf numFmtId="0" fontId="3" fillId="2" borderId="0" xfId="0" applyFont="1" applyFill="1" applyBorder="1"/>
    <xf numFmtId="0" fontId="7" fillId="2" borderId="8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3" fontId="8" fillId="2" borderId="5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11" fillId="2" borderId="0" xfId="0" applyFont="1" applyFill="1"/>
    <xf numFmtId="0" fontId="6" fillId="7" borderId="6" xfId="0" applyFont="1" applyFill="1" applyBorder="1"/>
    <xf numFmtId="0" fontId="6" fillId="7" borderId="2" xfId="0" applyFont="1" applyFill="1" applyBorder="1"/>
    <xf numFmtId="2" fontId="9" fillId="6" borderId="6" xfId="0" applyNumberFormat="1" applyFont="1" applyFill="1" applyBorder="1" applyAlignment="1">
      <alignment horizontal="center"/>
    </xf>
    <xf numFmtId="2" fontId="9" fillId="6" borderId="0" xfId="0" applyNumberFormat="1" applyFont="1" applyFill="1" applyBorder="1" applyAlignment="1">
      <alignment horizontal="center"/>
    </xf>
    <xf numFmtId="2" fontId="9" fillId="6" borderId="2" xfId="0" applyNumberFormat="1" applyFont="1" applyFill="1" applyBorder="1" applyAlignment="1">
      <alignment horizontal="center"/>
    </xf>
    <xf numFmtId="4" fontId="9" fillId="6" borderId="6" xfId="0" applyNumberFormat="1" applyFont="1" applyFill="1" applyBorder="1" applyAlignment="1">
      <alignment horizontal="center"/>
    </xf>
    <xf numFmtId="4" fontId="9" fillId="6" borderId="0" xfId="0" applyNumberFormat="1" applyFont="1" applyFill="1" applyBorder="1" applyAlignment="1">
      <alignment horizontal="center"/>
    </xf>
    <xf numFmtId="4" fontId="9" fillId="6" borderId="2" xfId="0" applyNumberFormat="1" applyFont="1" applyFill="1" applyBorder="1" applyAlignment="1">
      <alignment horizontal="center"/>
    </xf>
    <xf numFmtId="4" fontId="9" fillId="6" borderId="3" xfId="0" applyNumberFormat="1" applyFont="1" applyFill="1" applyBorder="1" applyAlignment="1">
      <alignment horizontal="center"/>
    </xf>
    <xf numFmtId="4" fontId="9" fillId="6" borderId="7" xfId="0" applyNumberFormat="1" applyFont="1" applyFill="1" applyBorder="1" applyAlignment="1">
      <alignment horizontal="center"/>
    </xf>
    <xf numFmtId="4" fontId="9" fillId="6" borderId="4" xfId="0" applyNumberFormat="1" applyFont="1" applyFill="1" applyBorder="1" applyAlignment="1">
      <alignment horizontal="center"/>
    </xf>
    <xf numFmtId="164" fontId="9" fillId="6" borderId="2" xfId="0" applyNumberFormat="1" applyFont="1" applyFill="1" applyBorder="1" applyAlignment="1">
      <alignment horizontal="center"/>
    </xf>
    <xf numFmtId="164" fontId="9" fillId="6" borderId="6" xfId="0" applyNumberFormat="1" applyFont="1" applyFill="1" applyBorder="1" applyAlignment="1">
      <alignment horizontal="center"/>
    </xf>
    <xf numFmtId="164" fontId="9" fillId="6" borderId="0" xfId="0" applyNumberFormat="1" applyFont="1" applyFill="1" applyBorder="1" applyAlignment="1">
      <alignment horizontal="center"/>
    </xf>
    <xf numFmtId="2" fontId="15" fillId="5" borderId="6" xfId="0" applyNumberFormat="1" applyFont="1" applyFill="1" applyBorder="1" applyAlignment="1" applyProtection="1">
      <alignment horizontal="center"/>
      <protection locked="0"/>
    </xf>
    <xf numFmtId="0" fontId="15" fillId="5" borderId="6" xfId="0" applyFont="1" applyFill="1" applyBorder="1" applyAlignment="1" applyProtection="1">
      <alignment horizontal="center"/>
      <protection locked="0"/>
    </xf>
    <xf numFmtId="3" fontId="15" fillId="5" borderId="6" xfId="0" applyNumberFormat="1" applyFont="1" applyFill="1" applyBorder="1" applyAlignment="1" applyProtection="1">
      <alignment horizontal="center"/>
      <protection locked="0"/>
    </xf>
    <xf numFmtId="2" fontId="9" fillId="6" borderId="5" xfId="0" applyNumberFormat="1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2" fontId="15" fillId="8" borderId="2" xfId="0" applyNumberFormat="1" applyFont="1" applyFill="1" applyBorder="1" applyAlignment="1" applyProtection="1">
      <alignment horizontal="center"/>
      <protection locked="0"/>
    </xf>
    <xf numFmtId="2" fontId="15" fillId="8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alcChain" Target="calcChain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Ingressos venda de llet menys costos d’alimentació de dues lactacions consecutives d'una vaca, segons intervals entre parts de 12, 13,14, 15 i 16 mesos. </a:t>
            </a:r>
          </a:p>
        </c:rich>
      </c:tx>
      <c:layout>
        <c:manualLayout>
          <c:xMode val="edge"/>
          <c:yMode val="edge"/>
          <c:x val="0.15718717683557393"/>
          <c:y val="0"/>
        </c:manualLayout>
      </c:layout>
      <c:spPr>
        <a:solidFill>
          <a:schemeClr val="accent3">
            <a:lumMod val="50000"/>
          </a:schemeClr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790072388831438E-2"/>
          <c:y val="7.7966101694915274E-2"/>
          <c:w val="0.89038262668045498"/>
          <c:h val="0.77966101694915291"/>
        </c:manualLayout>
      </c:layout>
      <c:scatterChart>
        <c:scatterStyle val="smoothMarker"/>
        <c:ser>
          <c:idx val="0"/>
          <c:order val="0"/>
          <c:tx>
            <c:strRef>
              <c:f>'Dades gràfics'!$B$1</c:f>
              <c:strCache>
                <c:ptCount val="1"/>
                <c:pt idx="0">
                  <c:v>Marge brut 2 lactacions/vaca (només alimentació)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dLblPos val="t"/>
            <c:showVal val="1"/>
          </c:dLbls>
          <c:xVal>
            <c:numRef>
              <c:f>'Dades gràfics'!$A$2:$A$6</c:f>
              <c:numCache>
                <c:formatCode>General</c:formatCode>
                <c:ptCount val="5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</c:numCache>
            </c:numRef>
          </c:xVal>
          <c:yVal>
            <c:numRef>
              <c:f>'Dades gràfics'!$B$2:$B$6</c:f>
              <c:numCache>
                <c:formatCode>#,##0.00</c:formatCode>
                <c:ptCount val="5"/>
                <c:pt idx="0">
                  <c:v>1899.8797902379993</c:v>
                </c:pt>
                <c:pt idx="1">
                  <c:v>2040.9408698386437</c:v>
                </c:pt>
                <c:pt idx="2">
                  <c:v>2144.0758414792258</c:v>
                </c:pt>
                <c:pt idx="3">
                  <c:v>2213.077315955748</c:v>
                </c:pt>
                <c:pt idx="4">
                  <c:v>2251.3586429846191</c:v>
                </c:pt>
              </c:numCache>
            </c:numRef>
          </c:yVal>
          <c:smooth val="1"/>
        </c:ser>
        <c:dLbls>
          <c:showVal val="1"/>
        </c:dLbls>
        <c:axId val="69379200"/>
        <c:axId val="69380736"/>
      </c:scatterChart>
      <c:valAx>
        <c:axId val="69379200"/>
        <c:scaling>
          <c:orientation val="minMax"/>
          <c:max val="17"/>
          <c:min val="11"/>
        </c:scaling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 entre parts, mesos</a:t>
                </a:r>
              </a:p>
            </c:rich>
          </c:tx>
          <c:layout/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9380736"/>
        <c:crossesAt val="2000"/>
        <c:crossBetween val="midCat"/>
      </c:valAx>
      <c:valAx>
        <c:axId val="69380736"/>
        <c:scaling>
          <c:orientation val="minMax"/>
          <c:min val="20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MB, €/dues lactacions consecutives</a:t>
                </a:r>
              </a:p>
            </c:rich>
          </c:tx>
          <c:layout>
            <c:manualLayout>
              <c:xMode val="edge"/>
              <c:yMode val="edge"/>
              <c:x val="0"/>
              <c:y val="0.10775141242937855"/>
            </c:manualLayout>
          </c:layout>
        </c:title>
        <c:numFmt formatCode="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9379200"/>
        <c:crosses val="autoZero"/>
        <c:crossBetween val="midCat"/>
      </c:valAx>
      <c:spPr>
        <a:noFill/>
        <a:ln w="25400">
          <a:solidFill>
            <a:srgbClr val="808000"/>
          </a:solidFill>
          <a:prstDash val="solid"/>
        </a:ln>
      </c:spPr>
    </c:plotArea>
    <c:plotVisOnly val="1"/>
    <c:dispBlanksAs val="gap"/>
  </c:chart>
  <c:spPr>
    <a:solidFill>
      <a:schemeClr val="accent3">
        <a:lumMod val="60000"/>
        <a:lumOff val="40000"/>
      </a:schemeClr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+mn-lt"/>
          <a:ea typeface="Verdana"/>
          <a:cs typeface="Verdana"/>
        </a:defRPr>
      </a:pPr>
      <a:endParaRPr lang="es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Ingressos venda de llet menys cost d'alimentació mensual d'una vaca que ha fet dues lactacions, segons intervals entre parts de 12, 13, 14, 15 o 16 mesos. </a:t>
            </a:r>
          </a:p>
        </c:rich>
      </c:tx>
      <c:layout>
        <c:manualLayout>
          <c:xMode val="edge"/>
          <c:yMode val="edge"/>
          <c:x val="0.11685625646328854"/>
          <c:y val="2.0338983050847449E-2"/>
        </c:manualLayout>
      </c:layout>
      <c:spPr>
        <a:solidFill>
          <a:schemeClr val="accent3">
            <a:lumMod val="50000"/>
          </a:schemeClr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2388831437435394E-2"/>
          <c:y val="0.14237288135593221"/>
          <c:w val="0.8697001034126165"/>
          <c:h val="0.71186440677966101"/>
        </c:manualLayout>
      </c:layout>
      <c:scatterChart>
        <c:scatterStyle val="smoothMarker"/>
        <c:ser>
          <c:idx val="1"/>
          <c:order val="0"/>
          <c:tx>
            <c:strRef>
              <c:f>'Dades gràfics'!$C$1</c:f>
              <c:strCache>
                <c:ptCount val="1"/>
                <c:pt idx="0">
                  <c:v>Marge brut/mes i vaca (només alimentació)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showVal val="1"/>
          </c:dLbls>
          <c:xVal>
            <c:numRef>
              <c:f>'Dades gràfics'!$A$2:$A$6</c:f>
              <c:numCache>
                <c:formatCode>General</c:formatCode>
                <c:ptCount val="5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</c:numCache>
            </c:numRef>
          </c:xVal>
          <c:yVal>
            <c:numRef>
              <c:f>'Dades gràfics'!$C$2:$C$6</c:f>
              <c:numCache>
                <c:formatCode>0.00</c:formatCode>
                <c:ptCount val="5"/>
                <c:pt idx="0">
                  <c:v>94.993989511899969</c:v>
                </c:pt>
                <c:pt idx="1">
                  <c:v>92.770039538120173</c:v>
                </c:pt>
                <c:pt idx="2">
                  <c:v>89.336493394967746</c:v>
                </c:pt>
                <c:pt idx="3">
                  <c:v>85.118358305990313</c:v>
                </c:pt>
                <c:pt idx="4">
                  <c:v>80.40566582087925</c:v>
                </c:pt>
              </c:numCache>
            </c:numRef>
          </c:yVal>
          <c:smooth val="1"/>
        </c:ser>
        <c:dLbls>
          <c:showVal val="1"/>
        </c:dLbls>
        <c:axId val="76941952"/>
        <c:axId val="76968320"/>
      </c:scatterChart>
      <c:valAx>
        <c:axId val="76941952"/>
        <c:scaling>
          <c:orientation val="minMax"/>
          <c:max val="17"/>
          <c:min val="11"/>
        </c:scaling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 entre parts, mesos</a:t>
                </a:r>
              </a:p>
            </c:rich>
          </c:tx>
          <c:layout/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76968320"/>
        <c:crosses val="autoZero"/>
        <c:crossBetween val="midCat"/>
      </c:valAx>
      <c:valAx>
        <c:axId val="7696832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MB, €/ vaca i mes</a:t>
                </a:r>
              </a:p>
            </c:rich>
          </c:tx>
          <c:layout>
            <c:manualLayout>
              <c:xMode val="edge"/>
              <c:yMode val="edge"/>
              <c:x val="4.1365046535677356E-3"/>
              <c:y val="0.16630508474576272"/>
            </c:manualLayout>
          </c:layout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76941952"/>
        <c:crosses val="autoZero"/>
        <c:crossBetween val="midCat"/>
      </c:valAx>
      <c:spPr>
        <a:solidFill>
          <a:schemeClr val="accent3">
            <a:lumMod val="60000"/>
            <a:lumOff val="40000"/>
          </a:schemeClr>
        </a:solidFill>
        <a:ln w="25400">
          <a:solidFill>
            <a:srgbClr val="808000"/>
          </a:solidFill>
          <a:prstDash val="solid"/>
        </a:ln>
      </c:spPr>
    </c:plotArea>
    <c:plotVisOnly val="1"/>
    <c:dispBlanksAs val="gap"/>
  </c:chart>
  <c:spPr>
    <a:solidFill>
      <a:schemeClr val="accent3">
        <a:lumMod val="60000"/>
        <a:lumOff val="40000"/>
      </a:schemeClr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+mn-lt"/>
          <a:ea typeface="Verdana"/>
          <a:cs typeface="Verdana"/>
        </a:defRPr>
      </a:pPr>
      <a:endParaRPr lang="es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es-ES">
                <a:solidFill>
                  <a:schemeClr val="bg1"/>
                </a:solidFill>
              </a:rPr>
              <a:t>Ingressos menys costos d'alimentació de dues lactacions consecutives d'una vaca, segons els intervals entre parts de 12, 13, 14, 15 o 16 mesos, repercutits per litre de llet. </a:t>
            </a:r>
          </a:p>
        </c:rich>
      </c:tx>
      <c:layout>
        <c:manualLayout>
          <c:xMode val="edge"/>
          <c:yMode val="edge"/>
          <c:x val="0.11995863495346432"/>
          <c:y val="2.0338983050847449E-2"/>
        </c:manualLayout>
      </c:layout>
      <c:spPr>
        <a:solidFill>
          <a:schemeClr val="accent3">
            <a:lumMod val="50000"/>
          </a:schemeClr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032057911065151E-2"/>
          <c:y val="0.11355932203389831"/>
          <c:w val="0.86659772492244058"/>
          <c:h val="0.77288135593220342"/>
        </c:manualLayout>
      </c:layout>
      <c:scatterChart>
        <c:scatterStyle val="smoothMarker"/>
        <c:ser>
          <c:idx val="3"/>
          <c:order val="0"/>
          <c:tx>
            <c:strRef>
              <c:f>'Dades gràfics'!$E$1</c:f>
              <c:strCache>
                <c:ptCount val="1"/>
                <c:pt idx="0">
                  <c:v>Marge brut/litre (només alimentació)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showVal val="1"/>
          </c:dLbls>
          <c:xVal>
            <c:numRef>
              <c:f>'Dades gràfics'!$A$2:$A$6</c:f>
              <c:numCache>
                <c:formatCode>General</c:formatCode>
                <c:ptCount val="5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</c:numCache>
            </c:numRef>
          </c:xVal>
          <c:yVal>
            <c:numRef>
              <c:f>'Dades gràfics'!$E$2:$E$6</c:f>
              <c:numCache>
                <c:formatCode>0.0000</c:formatCode>
                <c:ptCount val="5"/>
                <c:pt idx="0">
                  <c:v>13.311068152142582</c:v>
                </c:pt>
                <c:pt idx="1">
                  <c:v>13.135888359726588</c:v>
                </c:pt>
                <c:pt idx="2">
                  <c:v>12.858088131287559</c:v>
                </c:pt>
                <c:pt idx="3">
                  <c:v>12.504021530491395</c:v>
                </c:pt>
                <c:pt idx="4">
                  <c:v>12.090734188933155</c:v>
                </c:pt>
              </c:numCache>
            </c:numRef>
          </c:yVal>
          <c:smooth val="1"/>
        </c:ser>
        <c:dLbls>
          <c:showVal val="1"/>
        </c:dLbls>
        <c:axId val="77546624"/>
        <c:axId val="77548160"/>
      </c:scatterChart>
      <c:valAx>
        <c:axId val="77546624"/>
        <c:scaling>
          <c:orientation val="minMax"/>
          <c:max val="17"/>
          <c:min val="11"/>
        </c:scaling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 entre parts, mesos</a:t>
                </a:r>
              </a:p>
            </c:rich>
          </c:tx>
          <c:layout/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77548160"/>
        <c:crosses val="autoZero"/>
        <c:crossBetween val="midCat"/>
      </c:valAx>
      <c:valAx>
        <c:axId val="7754816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MB, ct. €/l</a:t>
                </a:r>
              </a:p>
            </c:rich>
          </c:tx>
          <c:layout>
            <c:manualLayout>
              <c:xMode val="edge"/>
              <c:yMode val="edge"/>
              <c:x val="6.894174422612892E-3"/>
              <c:y val="0.14540112994350282"/>
            </c:manualLayout>
          </c:layout>
        </c:title>
        <c:numFmt formatCode="0.0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77546624"/>
        <c:crosses val="autoZero"/>
        <c:crossBetween val="midCat"/>
      </c:valAx>
      <c:spPr>
        <a:solidFill>
          <a:schemeClr val="accent3">
            <a:lumMod val="60000"/>
            <a:lumOff val="40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chemeClr val="accent3">
        <a:lumMod val="60000"/>
        <a:lumOff val="40000"/>
      </a:schemeClr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+mn-lt"/>
          <a:ea typeface="Verdana"/>
          <a:cs typeface="Verdana"/>
        </a:defRPr>
      </a:pPr>
      <a:endParaRPr lang="es-E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zoomScale="89" workbookViewId="0"/>
  </sheetViews>
  <pageMargins left="0.75" right="0.75" top="1" bottom="1" header="0" footer="0"/>
  <pageSetup paperSize="9" orientation="landscape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zoomScale="89" workbookViewId="0"/>
  </sheetViews>
  <pageMargins left="0.75" right="0.75" top="1" bottom="1" header="0" footer="0"/>
  <pageSetup paperSize="9" orientation="landscape" horizontalDpi="1200" verticalDpi="1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zoomScale="89" workbookViewId="0"/>
  </sheetViews>
  <pageMargins left="0.75" right="0.75" top="1" bottom="1" header="0" footer="0"/>
  <pageSetup paperSize="9"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42</xdr:row>
      <xdr:rowOff>66675</xdr:rowOff>
    </xdr:from>
    <xdr:to>
      <xdr:col>11</xdr:col>
      <xdr:colOff>510350</xdr:colOff>
      <xdr:row>64</xdr:row>
      <xdr:rowOff>1524</xdr:rowOff>
    </xdr:to>
    <xdr:pic>
      <xdr:nvPicPr>
        <xdr:cNvPr id="11" name="10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" y="6896100"/>
          <a:ext cx="6215825" cy="3497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600075</xdr:colOff>
      <xdr:row>3</xdr:row>
      <xdr:rowOff>152400</xdr:rowOff>
    </xdr:from>
    <xdr:to>
      <xdr:col>12</xdr:col>
      <xdr:colOff>9525</xdr:colOff>
      <xdr:row>42</xdr:row>
      <xdr:rowOff>57150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600075" y="657225"/>
          <a:ext cx="6724650" cy="6219825"/>
        </a:xfrm>
        <a:prstGeom prst="rect">
          <a:avLst/>
        </a:prstGeom>
        <a:ln>
          <a:headEnd/>
          <a:tailEnd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s-ES" sz="1000" b="1" i="0" u="none" strike="noStrike" baseline="0">
            <a:solidFill>
              <a:schemeClr val="accent3">
                <a:lumMod val="50000"/>
              </a:schemeClr>
            </a:solidFill>
            <a:latin typeface="Verdana"/>
          </a:endParaRPr>
        </a:p>
        <a:p>
          <a:pPr algn="l" rtl="0">
            <a:defRPr sz="1000"/>
          </a:pPr>
          <a:r>
            <a:rPr lang="es-ES" sz="1050" b="1" i="0" u="none" strike="noStrike" baseline="0">
              <a:solidFill>
                <a:schemeClr val="accent3">
                  <a:lumMod val="50000"/>
                </a:schemeClr>
              </a:solidFill>
              <a:latin typeface="+mn-lt"/>
            </a:rPr>
            <a:t>Sovint es tenen dubtes sobre si és més rendible que les vaques tinguin intervals entre parts estàndards (de 12 mesos) o superiors. Si bé el que interessa és que les explotacions siguin rendibles, en aquest full de càlcul es fa una simulació sobre el marge brut, com a diferència entre ingressos de la venda de llet i els costos de l’alimentació, de diferents supòsits d’interval entre parts, de 12 a 16 mesos. És un tema controvertit, i segons on es posa l'interès els resultats poden diferir substancialment. En aquest cas els supòsits són els següents:</a:t>
          </a:r>
        </a:p>
        <a:p>
          <a:pPr algn="l" rtl="0">
            <a:defRPr sz="1000"/>
          </a:pPr>
          <a:r>
            <a:rPr lang="es-ES" sz="1050" b="1" i="0" u="none" strike="noStrike" baseline="0">
              <a:solidFill>
                <a:schemeClr val="accent3">
                  <a:lumMod val="50000"/>
                </a:schemeClr>
              </a:solidFill>
              <a:latin typeface="+mn-lt"/>
            </a:rPr>
            <a:t> </a:t>
          </a:r>
        </a:p>
        <a:p>
          <a:pPr algn="l" rtl="0">
            <a:defRPr sz="1000"/>
          </a:pPr>
          <a:r>
            <a:rPr lang="es-ES" sz="1050" b="1" i="0" u="none" strike="noStrike" baseline="0">
              <a:solidFill>
                <a:schemeClr val="accent3">
                  <a:lumMod val="50000"/>
                </a:schemeClr>
              </a:solidFill>
              <a:latin typeface="+mn-lt"/>
            </a:rPr>
            <a:t>1) Només s’estudia el MB entre ingressos de la venda de llet i els costos exclusius de l’alimentació</a:t>
          </a:r>
        </a:p>
        <a:p>
          <a:pPr algn="l" rtl="0">
            <a:defRPr sz="1000"/>
          </a:pPr>
          <a:r>
            <a:rPr lang="es-ES" sz="1050" b="1" i="0" u="none" strike="noStrike" baseline="0">
              <a:solidFill>
                <a:schemeClr val="accent3">
                  <a:lumMod val="50000"/>
                </a:schemeClr>
              </a:solidFill>
              <a:latin typeface="+mn-lt"/>
            </a:rPr>
            <a:t>2) El racionament alimentari és a base de ració única per a totes les vaques en lactació, sense complementació individual o per grups</a:t>
          </a:r>
        </a:p>
        <a:p>
          <a:pPr algn="l" rtl="0">
            <a:defRPr sz="1000"/>
          </a:pPr>
          <a:r>
            <a:rPr lang="es-ES" sz="1050" b="1" i="0" u="none" strike="noStrike" baseline="0">
              <a:solidFill>
                <a:schemeClr val="accent3">
                  <a:lumMod val="50000"/>
                </a:schemeClr>
              </a:solidFill>
              <a:latin typeface="+mn-lt"/>
            </a:rPr>
            <a:t>3) El càlcul de la producció dels mesos en lactació, i concretament per als mesos 10è, 11è, 12è, 13è i 14è s’ha fet en funció del càlcul del pic de la lactació, segons es tracti d’una vaca primípara o multípara, amb els corresponents valors de la persistència en la producció – 0,93 per a les primípares i 0,9 per a les multípares -. L’usuari podrà entrar les característiques productives de la vaca (primípara o multípara, producció de la lactació anterior o de la mitjana de l’explotació, els dies de la lactació i la taxa de greix obtingut), i, a la vegada, podrà entrar la taxa de greix a la qual ha de referir la llet, taxa de pagament</a:t>
          </a:r>
        </a:p>
        <a:p>
          <a:pPr algn="l" rtl="0">
            <a:defRPr sz="1000"/>
          </a:pPr>
          <a:r>
            <a:rPr lang="es-ES" sz="1050" b="1" i="0" u="none" strike="noStrike" baseline="0">
              <a:solidFill>
                <a:schemeClr val="accent3">
                  <a:lumMod val="50000"/>
                </a:schemeClr>
              </a:solidFill>
              <a:latin typeface="+mn-lt"/>
            </a:rPr>
            <a:t>4) L’usuari pot incloure el cost diari del racionament d’una vaca i el preu de la llet estàndard</a:t>
          </a:r>
        </a:p>
        <a:p>
          <a:pPr algn="l" rtl="0">
            <a:defRPr sz="1000"/>
          </a:pPr>
          <a:endParaRPr lang="es-ES" sz="1050" b="1" i="0" u="none" strike="noStrike" baseline="0">
            <a:solidFill>
              <a:schemeClr val="accent3">
                <a:lumMod val="50000"/>
              </a:schemeClr>
            </a:solidFill>
            <a:latin typeface="+mn-lt"/>
          </a:endParaRPr>
        </a:p>
        <a:p>
          <a:pPr algn="l" rtl="0">
            <a:defRPr sz="1000"/>
          </a:pPr>
          <a:r>
            <a:rPr lang="es-ES" sz="1050" b="1" i="0" u="none" strike="noStrike" baseline="0">
              <a:solidFill>
                <a:schemeClr val="accent3">
                  <a:lumMod val="50000"/>
                </a:schemeClr>
              </a:solidFill>
              <a:latin typeface="+mn-lt"/>
            </a:rPr>
            <a:t>A partir d’aquí  es generen els càlculs, des de la producció als mesos últims de la lactació fins a la producció de dues lactacions consecutives, i els mesos de lactació que corresponen a cada interval entre parts entre 12 i 16.</a:t>
          </a:r>
        </a:p>
        <a:p>
          <a:pPr algn="l" rtl="0">
            <a:defRPr sz="1000"/>
          </a:pPr>
          <a:endParaRPr lang="es-ES" sz="1050" b="1" i="0" u="none" strike="noStrike" baseline="0">
            <a:solidFill>
              <a:schemeClr val="accent3">
                <a:lumMod val="50000"/>
              </a:schemeClr>
            </a:solidFill>
            <a:latin typeface="+mn-lt"/>
          </a:endParaRPr>
        </a:p>
        <a:p>
          <a:pPr algn="l" rtl="0">
            <a:defRPr sz="1000"/>
          </a:pPr>
          <a:r>
            <a:rPr lang="es-ES" sz="1050" b="1" i="0" u="none" strike="noStrike" baseline="0">
              <a:solidFill>
                <a:schemeClr val="accent3">
                  <a:lumMod val="50000"/>
                </a:schemeClr>
              </a:solidFill>
              <a:latin typeface="+mn-lt"/>
            </a:rPr>
            <a:t>Per a la simulació del MB es fa el següent:</a:t>
          </a:r>
        </a:p>
        <a:p>
          <a:pPr algn="l" rtl="0">
            <a:defRPr sz="1000"/>
          </a:pPr>
          <a:endParaRPr lang="es-ES" sz="1050" b="1" i="0" u="none" strike="noStrike" baseline="0">
            <a:solidFill>
              <a:schemeClr val="accent3">
                <a:lumMod val="50000"/>
              </a:schemeClr>
            </a:solidFill>
            <a:latin typeface="+mn-lt"/>
          </a:endParaRPr>
        </a:p>
        <a:p>
          <a:pPr algn="l" rtl="0">
            <a:defRPr sz="1000"/>
          </a:pPr>
          <a:r>
            <a:rPr lang="es-ES" sz="1050" b="1" i="0" u="none" strike="noStrike" baseline="0">
              <a:solidFill>
                <a:schemeClr val="accent3">
                  <a:lumMod val="50000"/>
                </a:schemeClr>
              </a:solidFill>
              <a:latin typeface="+mn-lt"/>
            </a:rPr>
            <a:t>Primer es calculen els ingressos de dues lactacions seguides, per a cada supòsit d’interval entre parts, entre 12 i 16 mesos. A continuació, sabent els mesos de lactació de les dues lactacions consecutives, per a cada interval entre parts, de 12 a 16 mesos, i el cost diari del racionament per vaca, es calcula el cost de les dues lactacions. Aquests valors es porten a una  gràfica per veure millor la tendència del MB.</a:t>
          </a:r>
        </a:p>
        <a:p>
          <a:pPr algn="l" rtl="0">
            <a:defRPr sz="1000"/>
          </a:pPr>
          <a:endParaRPr lang="es-ES" sz="1050" b="1" i="0" u="none" strike="noStrike" baseline="0">
            <a:solidFill>
              <a:schemeClr val="accent3">
                <a:lumMod val="50000"/>
              </a:schemeClr>
            </a:solidFill>
            <a:latin typeface="+mn-lt"/>
          </a:endParaRPr>
        </a:p>
        <a:p>
          <a:pPr algn="l" rtl="0">
            <a:defRPr sz="1000"/>
          </a:pPr>
          <a:r>
            <a:rPr lang="es-ES" sz="1050" b="1" i="0" u="none" strike="noStrike" baseline="0">
              <a:solidFill>
                <a:schemeClr val="accent3">
                  <a:lumMod val="50000"/>
                </a:schemeClr>
              </a:solidFill>
              <a:latin typeface="+mn-lt"/>
            </a:rPr>
            <a:t>A continuació, a partir del MB de dues lactacions es calcula el MB mensual, sempre per vaca, que també es pot visualitzar a una gràfica. També s’inclou el MB per vaca i dia, i el MB per vaca i litre de llet, i aquest també es pot veure a una gràfica. A les gràfiques no s’inclouen missatges, ja que segons siguin les dades que s’introdueixin, l’usuari podrà extreure les conclusions més adients.</a:t>
          </a:r>
          <a:r>
            <a:rPr lang="es-ES" sz="1000" b="1" i="0" u="none" strike="noStrike" baseline="0">
              <a:solidFill>
                <a:schemeClr val="accent3">
                  <a:lumMod val="50000"/>
                </a:schemeClr>
              </a:solidFill>
              <a:latin typeface="Verdana"/>
            </a:rPr>
            <a:t> </a:t>
          </a:r>
        </a:p>
        <a:p>
          <a:pPr algn="l" rtl="0">
            <a:defRPr sz="1000"/>
          </a:pPr>
          <a:endParaRPr lang="es-ES" sz="1000" b="1" i="0" u="none" strike="noStrike" baseline="0">
            <a:solidFill>
              <a:schemeClr val="accent3">
                <a:lumMod val="50000"/>
              </a:schemeClr>
            </a:solidFill>
            <a:latin typeface="Verdana"/>
          </a:endParaRPr>
        </a:p>
      </xdr:txBody>
    </xdr:sp>
    <xdr:clientData/>
  </xdr:twoCellAnchor>
  <xdr:twoCellAnchor>
    <xdr:from>
      <xdr:col>1</xdr:col>
      <xdr:colOff>0</xdr:colOff>
      <xdr:row>1</xdr:row>
      <xdr:rowOff>66675</xdr:rowOff>
    </xdr:from>
    <xdr:to>
      <xdr:col>12</xdr:col>
      <xdr:colOff>9525</xdr:colOff>
      <xdr:row>3</xdr:row>
      <xdr:rowOff>104775</xdr:rowOff>
    </xdr:to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609600" y="247650"/>
          <a:ext cx="6715125" cy="361950"/>
        </a:xfrm>
        <a:prstGeom prst="rect">
          <a:avLst/>
        </a:prstGeom>
        <a:solidFill>
          <a:schemeClr val="accent3">
            <a:lumMod val="75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chemeClr val="bg1"/>
              </a:solidFill>
              <a:latin typeface="+mn-lt"/>
            </a:rPr>
            <a:t>Simulació del marge brut entre ingressos de la producció de llet i el cost de l’alimentació d'una vaca</a:t>
          </a:r>
        </a:p>
      </xdr:txBody>
    </xdr:sp>
    <xdr:clientData/>
  </xdr:twoCellAnchor>
  <xdr:twoCellAnchor>
    <xdr:from>
      <xdr:col>8</xdr:col>
      <xdr:colOff>257175</xdr:colOff>
      <xdr:row>48</xdr:row>
      <xdr:rowOff>142875</xdr:rowOff>
    </xdr:from>
    <xdr:to>
      <xdr:col>10</xdr:col>
      <xdr:colOff>447675</xdr:colOff>
      <xdr:row>50</xdr:row>
      <xdr:rowOff>28575</xdr:rowOff>
    </xdr:to>
    <xdr:sp macro="" textlink="">
      <xdr:nvSpPr>
        <xdr:cNvPr id="8196" name="Text Box 4"/>
        <xdr:cNvSpPr txBox="1">
          <a:spLocks noChangeArrowheads="1"/>
        </xdr:cNvSpPr>
      </xdr:nvSpPr>
      <xdr:spPr bwMode="auto">
        <a:xfrm>
          <a:off x="5133975" y="7943850"/>
          <a:ext cx="1409700" cy="209550"/>
        </a:xfrm>
        <a:prstGeom prst="rect">
          <a:avLst/>
        </a:prstGeom>
        <a:ln>
          <a:headEnd/>
          <a:tailEnd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s-ES" sz="1000" b="1" i="0" u="none" strike="noStrike" baseline="0">
              <a:solidFill>
                <a:schemeClr val="accent3">
                  <a:lumMod val="50000"/>
                </a:schemeClr>
              </a:solidFill>
              <a:latin typeface="+mn-lt"/>
            </a:rPr>
            <a:t>Passar de PTA a €</a:t>
          </a:r>
        </a:p>
      </xdr:txBody>
    </xdr:sp>
    <xdr:clientData/>
  </xdr:twoCellAnchor>
  <xdr:twoCellAnchor>
    <xdr:from>
      <xdr:col>0</xdr:col>
      <xdr:colOff>438150</xdr:colOff>
      <xdr:row>43</xdr:row>
      <xdr:rowOff>9525</xdr:rowOff>
    </xdr:from>
    <xdr:to>
      <xdr:col>2</xdr:col>
      <xdr:colOff>190500</xdr:colOff>
      <xdr:row>52</xdr:row>
      <xdr:rowOff>104775</xdr:rowOff>
    </xdr:to>
    <xdr:sp macro="" textlink="">
      <xdr:nvSpPr>
        <xdr:cNvPr id="8200" name="Text Box 8"/>
        <xdr:cNvSpPr txBox="1">
          <a:spLocks noChangeArrowheads="1"/>
        </xdr:cNvSpPr>
      </xdr:nvSpPr>
      <xdr:spPr bwMode="auto">
        <a:xfrm>
          <a:off x="438150" y="6991350"/>
          <a:ext cx="971550" cy="1552575"/>
        </a:xfrm>
        <a:prstGeom prst="rect">
          <a:avLst/>
        </a:prstGeom>
        <a:ln>
          <a:headEnd/>
          <a:tailEnd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s-ES" sz="1100" b="1" i="0" u="none" strike="noStrike" baseline="0">
              <a:solidFill>
                <a:schemeClr val="accent3">
                  <a:lumMod val="50000"/>
                </a:schemeClr>
              </a:solidFill>
              <a:latin typeface="+mn-lt"/>
            </a:rPr>
            <a:t>% greix pagament de la llet; paritat; producció d'una lactació (litres, dies, % greix)</a:t>
          </a:r>
        </a:p>
      </xdr:txBody>
    </xdr:sp>
    <xdr:clientData/>
  </xdr:twoCellAnchor>
  <xdr:twoCellAnchor>
    <xdr:from>
      <xdr:col>2</xdr:col>
      <xdr:colOff>209550</xdr:colOff>
      <xdr:row>46</xdr:row>
      <xdr:rowOff>19050</xdr:rowOff>
    </xdr:from>
    <xdr:to>
      <xdr:col>2</xdr:col>
      <xdr:colOff>438150</xdr:colOff>
      <xdr:row>46</xdr:row>
      <xdr:rowOff>38100</xdr:rowOff>
    </xdr:to>
    <xdr:sp macro="" textlink="">
      <xdr:nvSpPr>
        <xdr:cNvPr id="8201" name="Line 9"/>
        <xdr:cNvSpPr>
          <a:spLocks noChangeShapeType="1"/>
        </xdr:cNvSpPr>
      </xdr:nvSpPr>
      <xdr:spPr bwMode="auto">
        <a:xfrm>
          <a:off x="1428750" y="7486650"/>
          <a:ext cx="228600" cy="19050"/>
        </a:xfrm>
        <a:prstGeom prst="line">
          <a:avLst/>
        </a:prstGeom>
        <a:noFill/>
        <a:ln w="9525">
          <a:solidFill>
            <a:srgbClr val="808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390525</xdr:colOff>
      <xdr:row>42</xdr:row>
      <xdr:rowOff>57150</xdr:rowOff>
    </xdr:from>
    <xdr:to>
      <xdr:col>12</xdr:col>
      <xdr:colOff>561975</xdr:colOff>
      <xdr:row>46</xdr:row>
      <xdr:rowOff>133350</xdr:rowOff>
    </xdr:to>
    <xdr:sp macro="" textlink="">
      <xdr:nvSpPr>
        <xdr:cNvPr id="8203" name="Text Box 11"/>
        <xdr:cNvSpPr txBox="1">
          <a:spLocks noChangeArrowheads="1"/>
        </xdr:cNvSpPr>
      </xdr:nvSpPr>
      <xdr:spPr bwMode="auto">
        <a:xfrm>
          <a:off x="6486525" y="6886575"/>
          <a:ext cx="1390650" cy="723900"/>
        </a:xfrm>
        <a:prstGeom prst="rect">
          <a:avLst/>
        </a:prstGeom>
        <a:ln>
          <a:headEnd/>
          <a:tailEnd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s-ES" sz="1050" b="1" i="0" u="none" strike="noStrike" baseline="0">
              <a:solidFill>
                <a:schemeClr val="accent3">
                  <a:lumMod val="50000"/>
                </a:schemeClr>
              </a:solidFill>
              <a:latin typeface="+mn-lt"/>
              <a:cs typeface="Shruti" pitchFamily="2"/>
            </a:rPr>
            <a:t>Cost diari alimentació per vaca €; preu de la llet en cts €/litre</a:t>
          </a:r>
        </a:p>
      </xdr:txBody>
    </xdr:sp>
    <xdr:clientData/>
  </xdr:twoCellAnchor>
  <xdr:twoCellAnchor>
    <xdr:from>
      <xdr:col>10</xdr:col>
      <xdr:colOff>209549</xdr:colOff>
      <xdr:row>44</xdr:row>
      <xdr:rowOff>152398</xdr:rowOff>
    </xdr:from>
    <xdr:to>
      <xdr:col>10</xdr:col>
      <xdr:colOff>371474</xdr:colOff>
      <xdr:row>44</xdr:row>
      <xdr:rowOff>152399</xdr:rowOff>
    </xdr:to>
    <xdr:sp macro="" textlink="">
      <xdr:nvSpPr>
        <xdr:cNvPr id="8206" name="Line 14"/>
        <xdr:cNvSpPr>
          <a:spLocks noChangeShapeType="1"/>
        </xdr:cNvSpPr>
      </xdr:nvSpPr>
      <xdr:spPr bwMode="auto">
        <a:xfrm flipH="1">
          <a:off x="6305549" y="7305673"/>
          <a:ext cx="161925" cy="1"/>
        </a:xfrm>
        <a:prstGeom prst="line">
          <a:avLst/>
        </a:prstGeom>
        <a:noFill/>
        <a:ln w="9525">
          <a:solidFill>
            <a:srgbClr val="808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333375</xdr:colOff>
      <xdr:row>48</xdr:row>
      <xdr:rowOff>28575</xdr:rowOff>
    </xdr:from>
    <xdr:to>
      <xdr:col>9</xdr:col>
      <xdr:colOff>352425</xdr:colOff>
      <xdr:row>48</xdr:row>
      <xdr:rowOff>123825</xdr:rowOff>
    </xdr:to>
    <xdr:sp macro="" textlink="">
      <xdr:nvSpPr>
        <xdr:cNvPr id="8207" name="Line 15"/>
        <xdr:cNvSpPr>
          <a:spLocks noChangeShapeType="1"/>
        </xdr:cNvSpPr>
      </xdr:nvSpPr>
      <xdr:spPr bwMode="auto">
        <a:xfrm flipH="1" flipV="1">
          <a:off x="5819775" y="7829550"/>
          <a:ext cx="19050" cy="95250"/>
        </a:xfrm>
        <a:prstGeom prst="line">
          <a:avLst/>
        </a:prstGeom>
        <a:noFill/>
        <a:ln w="9525">
          <a:solidFill>
            <a:srgbClr val="808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6</xdr:row>
      <xdr:rowOff>57150</xdr:rowOff>
    </xdr:from>
    <xdr:to>
      <xdr:col>4</xdr:col>
      <xdr:colOff>180975</xdr:colOff>
      <xdr:row>11</xdr:row>
      <xdr:rowOff>28575</xdr:rowOff>
    </xdr:to>
    <xdr:sp macro="" textlink="">
      <xdr:nvSpPr>
        <xdr:cNvPr id="2" name="1 CuadroTexto"/>
        <xdr:cNvSpPr txBox="1"/>
      </xdr:nvSpPr>
      <xdr:spPr>
        <a:xfrm>
          <a:off x="5162550" y="1171575"/>
          <a:ext cx="914400" cy="704850"/>
        </a:xfrm>
        <a:prstGeom prst="rect">
          <a:avLst/>
        </a:prstGeom>
        <a:solidFill>
          <a:schemeClr val="tx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>
              <a:solidFill>
                <a:schemeClr val="bg1"/>
              </a:solidFill>
            </a:rPr>
            <a:t>Només s'han d'omplir aquestes</a:t>
          </a:r>
        </a:p>
      </xdr:txBody>
    </xdr:sp>
    <xdr:clientData/>
  </xdr:twoCellAnchor>
  <xdr:twoCellAnchor>
    <xdr:from>
      <xdr:col>3</xdr:col>
      <xdr:colOff>38103</xdr:colOff>
      <xdr:row>5</xdr:row>
      <xdr:rowOff>76202</xdr:rowOff>
    </xdr:from>
    <xdr:to>
      <xdr:col>3</xdr:col>
      <xdr:colOff>638176</xdr:colOff>
      <xdr:row>8</xdr:row>
      <xdr:rowOff>57150</xdr:rowOff>
    </xdr:to>
    <xdr:cxnSp macro="">
      <xdr:nvCxnSpPr>
        <xdr:cNvPr id="4" name="3 Conector angular"/>
        <xdr:cNvCxnSpPr>
          <a:stCxn id="2" idx="1"/>
        </xdr:cNvCxnSpPr>
      </xdr:nvCxnSpPr>
      <xdr:spPr>
        <a:xfrm rot="10800000">
          <a:off x="4562478" y="1028702"/>
          <a:ext cx="600073" cy="495298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1047750</xdr:colOff>
      <xdr:row>3</xdr:row>
      <xdr:rowOff>28575</xdr:rowOff>
    </xdr:from>
    <xdr:to>
      <xdr:col>3</xdr:col>
      <xdr:colOff>66675</xdr:colOff>
      <xdr:row>8</xdr:row>
      <xdr:rowOff>9525</xdr:rowOff>
    </xdr:to>
    <xdr:sp macro="" textlink="">
      <xdr:nvSpPr>
        <xdr:cNvPr id="5" name="4 Cerrar llave"/>
        <xdr:cNvSpPr/>
      </xdr:nvSpPr>
      <xdr:spPr>
        <a:xfrm>
          <a:off x="4505325" y="600075"/>
          <a:ext cx="85725" cy="8763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4</xdr:col>
      <xdr:colOff>180975</xdr:colOff>
      <xdr:row>4</xdr:row>
      <xdr:rowOff>38100</xdr:rowOff>
    </xdr:from>
    <xdr:to>
      <xdr:col>4</xdr:col>
      <xdr:colOff>1190625</xdr:colOff>
      <xdr:row>8</xdr:row>
      <xdr:rowOff>57150</xdr:rowOff>
    </xdr:to>
    <xdr:cxnSp macro="">
      <xdr:nvCxnSpPr>
        <xdr:cNvPr id="8" name="7 Conector angular"/>
        <xdr:cNvCxnSpPr>
          <a:stCxn id="2" idx="3"/>
        </xdr:cNvCxnSpPr>
      </xdr:nvCxnSpPr>
      <xdr:spPr>
        <a:xfrm flipV="1">
          <a:off x="6076950" y="771525"/>
          <a:ext cx="1009650" cy="752475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B1:L1"/>
  <sheetViews>
    <sheetView topLeftCell="A37" workbookViewId="0">
      <selection activeCell="M51" sqref="M51"/>
    </sheetView>
  </sheetViews>
  <sheetFormatPr baseColWidth="10" defaultColWidth="9.140625" defaultRowHeight="12.75"/>
  <cols>
    <col min="1" max="16384" width="9.140625" style="17"/>
  </cols>
  <sheetData>
    <row r="1" spans="2:12" ht="15">
      <c r="B1" s="36" t="s">
        <v>33</v>
      </c>
      <c r="C1" s="36"/>
      <c r="D1" s="36"/>
      <c r="E1" s="36"/>
      <c r="F1" s="36"/>
      <c r="G1" s="36"/>
      <c r="H1" s="36"/>
      <c r="I1" s="36"/>
      <c r="J1" s="36"/>
      <c r="K1" s="36"/>
      <c r="L1" s="36"/>
    </row>
  </sheetData>
  <mergeCells count="1">
    <mergeCell ref="B1:L1"/>
  </mergeCells>
  <phoneticPr fontId="1" type="noConversion"/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ull1" enableFormatConditionsCalculation="0">
    <tabColor indexed="42"/>
  </sheetPr>
  <dimension ref="A1:U42"/>
  <sheetViews>
    <sheetView tabSelected="1" topLeftCell="B1" workbookViewId="0">
      <selection activeCell="G26" sqref="G26"/>
    </sheetView>
  </sheetViews>
  <sheetFormatPr baseColWidth="10" defaultColWidth="9.140625" defaultRowHeight="12.75"/>
  <cols>
    <col min="1" max="1" width="9.140625" style="8"/>
    <col min="2" max="2" width="42.7109375" style="8" customWidth="1"/>
    <col min="3" max="3" width="16" style="8" customWidth="1"/>
    <col min="4" max="4" width="20.5703125" style="8" customWidth="1"/>
    <col min="5" max="5" width="18.140625" style="8" customWidth="1"/>
    <col min="6" max="6" width="15.140625" style="8" bestFit="1" customWidth="1"/>
    <col min="7" max="7" width="17.28515625" style="8" customWidth="1"/>
    <col min="8" max="8" width="9.140625" style="7"/>
    <col min="9" max="12" width="9.140625" style="8"/>
    <col min="13" max="13" width="9.140625" style="7"/>
    <col min="14" max="16384" width="9.140625" style="8"/>
  </cols>
  <sheetData>
    <row r="1" spans="1:12" ht="15">
      <c r="A1" s="6"/>
      <c r="B1" s="45" t="s">
        <v>33</v>
      </c>
      <c r="C1" s="45"/>
      <c r="D1" s="46" t="s">
        <v>23</v>
      </c>
      <c r="E1" s="46"/>
      <c r="F1" s="46"/>
      <c r="G1" s="6"/>
      <c r="I1" s="7"/>
      <c r="J1" s="7"/>
      <c r="K1" s="7"/>
      <c r="L1" s="7"/>
    </row>
    <row r="2" spans="1:12" ht="14.25" customHeight="1">
      <c r="A2" s="7"/>
      <c r="B2" s="37" t="s">
        <v>22</v>
      </c>
      <c r="C2" s="37"/>
      <c r="D2" s="46"/>
      <c r="E2" s="46"/>
      <c r="F2" s="46"/>
      <c r="G2" s="7"/>
      <c r="I2" s="7"/>
      <c r="J2" s="7"/>
      <c r="K2" s="7"/>
      <c r="L2" s="7"/>
    </row>
    <row r="3" spans="1:12" ht="15.75" customHeight="1">
      <c r="A3" s="7"/>
      <c r="B3" s="38"/>
      <c r="C3" s="38"/>
      <c r="D3" s="7"/>
      <c r="E3" s="7"/>
      <c r="F3" s="7"/>
      <c r="G3" s="7"/>
      <c r="I3" s="7"/>
      <c r="J3" s="7"/>
      <c r="K3" s="7"/>
      <c r="L3" s="7"/>
    </row>
    <row r="4" spans="1:12">
      <c r="A4" s="7"/>
      <c r="B4" s="18" t="s">
        <v>2</v>
      </c>
      <c r="C4" s="32">
        <v>3.7</v>
      </c>
      <c r="D4" s="47" t="s">
        <v>24</v>
      </c>
      <c r="E4" s="47"/>
      <c r="F4" s="52">
        <v>3.97</v>
      </c>
      <c r="G4" s="7"/>
      <c r="I4" s="7"/>
      <c r="J4" s="7"/>
      <c r="K4" s="7"/>
      <c r="L4" s="7"/>
    </row>
    <row r="5" spans="1:12" ht="17.25" customHeight="1">
      <c r="A5" s="7"/>
      <c r="B5" s="18" t="s">
        <v>0</v>
      </c>
      <c r="C5" s="9">
        <v>3</v>
      </c>
      <c r="D5" s="48" t="s">
        <v>25</v>
      </c>
      <c r="E5" s="48"/>
      <c r="F5" s="53">
        <v>30</v>
      </c>
      <c r="G5" s="7"/>
      <c r="I5" s="7"/>
      <c r="J5" s="7"/>
      <c r="K5" s="7"/>
      <c r="L5" s="7"/>
    </row>
    <row r="6" spans="1:12">
      <c r="A6" s="7"/>
      <c r="B6" s="18" t="str">
        <f>IF(C5&gt;1,IF(C5=2,"Producció mitjana explotació","Producció mitjana lactació anterior"),"")</f>
        <v>Producció mitjana lactació anterior</v>
      </c>
      <c r="C6" s="34">
        <v>9000</v>
      </c>
      <c r="D6" s="10">
        <f>(C6*385/(C7+80))*(C4+(10-C4)*C8/C4)/10</f>
        <v>7136.4663170633312</v>
      </c>
      <c r="E6" s="11" t="s">
        <v>13</v>
      </c>
      <c r="F6" s="12" t="s">
        <v>12</v>
      </c>
      <c r="G6" s="7"/>
      <c r="I6" s="7"/>
      <c r="J6" s="7"/>
      <c r="K6" s="7"/>
      <c r="L6" s="7"/>
    </row>
    <row r="7" spans="1:12" ht="15">
      <c r="A7" s="7"/>
      <c r="B7" s="18" t="s">
        <v>7</v>
      </c>
      <c r="C7" s="33">
        <v>389</v>
      </c>
      <c r="D7" s="7"/>
      <c r="E7" s="13">
        <v>650</v>
      </c>
      <c r="F7" s="35">
        <f>E7/166.386</f>
        <v>3.9065786784945851</v>
      </c>
      <c r="G7" s="7"/>
      <c r="I7" s="7"/>
      <c r="J7" s="7"/>
      <c r="K7" s="7"/>
      <c r="L7" s="7"/>
    </row>
    <row r="8" spans="1:12">
      <c r="A8" s="7"/>
      <c r="B8" s="18" t="s">
        <v>8</v>
      </c>
      <c r="C8" s="32">
        <v>3.5</v>
      </c>
      <c r="D8" s="7"/>
      <c r="E8" s="7"/>
      <c r="F8" s="7"/>
      <c r="G8" s="7"/>
      <c r="I8" s="7"/>
      <c r="J8" s="7"/>
      <c r="K8" s="7"/>
      <c r="L8" s="7"/>
    </row>
    <row r="9" spans="1:12" ht="15">
      <c r="A9" s="7"/>
      <c r="B9" s="18" t="s">
        <v>1</v>
      </c>
      <c r="C9" s="20">
        <f>IF(C5=2,D6/220,D6/190)</f>
        <v>37.560349037175428</v>
      </c>
      <c r="D9" s="7"/>
      <c r="E9" s="7"/>
      <c r="F9" s="7"/>
      <c r="G9" s="7"/>
      <c r="I9" s="7"/>
      <c r="J9" s="7"/>
      <c r="K9" s="7"/>
      <c r="L9" s="7"/>
    </row>
    <row r="10" spans="1:12" ht="15" hidden="1">
      <c r="A10" s="7"/>
      <c r="B10" s="18" t="s">
        <v>18</v>
      </c>
      <c r="C10" s="20">
        <v>16</v>
      </c>
      <c r="D10" s="7"/>
      <c r="E10" s="7"/>
      <c r="F10" s="7"/>
      <c r="G10" s="7"/>
      <c r="I10" s="7"/>
      <c r="J10" s="7"/>
      <c r="K10" s="7"/>
      <c r="L10" s="7"/>
    </row>
    <row r="11" spans="1:12" ht="15">
      <c r="A11" s="7"/>
      <c r="B11" s="19" t="s">
        <v>34</v>
      </c>
      <c r="C11" s="22">
        <f>IF(B11="","",IF(C5=2,(0.965*(0.93^4))*C$9,(0.95*(0.9^4))*C$9))</f>
        <v>23.41117775312626</v>
      </c>
      <c r="D11" s="7"/>
      <c r="E11" s="7"/>
      <c r="F11" s="7"/>
      <c r="G11" s="7"/>
      <c r="I11" s="7"/>
      <c r="J11" s="7"/>
      <c r="K11" s="7"/>
      <c r="L11" s="7"/>
    </row>
    <row r="12" spans="1:12" ht="13.5" customHeight="1">
      <c r="A12" s="7"/>
      <c r="B12" s="18" t="str">
        <f>IF(C10-12&gt;0, "Producció diària 11è mes lactació, IP &gt;= 13","")</f>
        <v>Producció diària 11è mes lactació, IP &gt;= 13</v>
      </c>
      <c r="C12" s="20">
        <f>IF(B12="","",IF($C$5=2,(0.965*0.93^5)*C$9,(0.95*0.9^5)*C$9))</f>
        <v>21.070059977813635</v>
      </c>
      <c r="D12" s="7"/>
      <c r="E12" s="7"/>
      <c r="F12" s="7"/>
      <c r="G12" s="7"/>
      <c r="I12" s="7"/>
      <c r="J12" s="7"/>
      <c r="K12" s="7"/>
      <c r="L12" s="7"/>
    </row>
    <row r="13" spans="1:12" ht="15">
      <c r="A13" s="7"/>
      <c r="B13" s="18" t="str">
        <f>IF(C10-13&gt;0,"Producció diària 12è mes lactació, IP &gt;= 14","")</f>
        <v>Producció diària 12è mes lactació, IP &gt;= 14</v>
      </c>
      <c r="C13" s="20">
        <f>IF(B13="","",IF($C$5=2,(0.965*0.93^6)*C$9,(0.95*0.9^6)*C$9))</f>
        <v>18.963053980032274</v>
      </c>
      <c r="D13" s="7"/>
      <c r="E13" s="7"/>
      <c r="F13" s="7"/>
      <c r="G13" s="7"/>
      <c r="I13" s="7"/>
      <c r="J13" s="7"/>
      <c r="K13" s="7"/>
      <c r="L13" s="7"/>
    </row>
    <row r="14" spans="1:12" ht="15">
      <c r="A14" s="7"/>
      <c r="B14" s="18" t="str">
        <f>IF(C10-14&gt;0,"Produccio diària 13è mes lactació, IP &gt;= 15","")</f>
        <v>Produccio diària 13è mes lactació, IP &gt;= 15</v>
      </c>
      <c r="C14" s="20">
        <f>IF(B14="","",IF($C$5=2,(0.965*0.93^7)*C$9,(0.95*0.9^7)*C$9))</f>
        <v>17.066748582029046</v>
      </c>
      <c r="D14" s="40" t="s">
        <v>10</v>
      </c>
      <c r="E14" s="40" t="s">
        <v>9</v>
      </c>
      <c r="F14" s="40" t="s">
        <v>11</v>
      </c>
      <c r="G14" s="40" t="s">
        <v>20</v>
      </c>
      <c r="I14" s="7"/>
      <c r="J14" s="7"/>
      <c r="K14" s="7"/>
      <c r="L14" s="7"/>
    </row>
    <row r="15" spans="1:12" ht="15">
      <c r="A15" s="7"/>
      <c r="B15" s="18" t="str">
        <f>IF(C10-15&gt;0,"Producció diària 14è mes lactació, IP = 16","")</f>
        <v>Producció diària 14è mes lactació, IP = 16</v>
      </c>
      <c r="C15" s="20">
        <f>IF(B15="","",IF($C$5=2,(0.965*0.93^8)*C$9,(0.95*0.9^8)*C$9))</f>
        <v>15.360073723826142</v>
      </c>
      <c r="D15" s="40"/>
      <c r="E15" s="40"/>
      <c r="F15" s="40"/>
      <c r="G15" s="40"/>
      <c r="I15" s="7"/>
      <c r="J15" s="7"/>
      <c r="K15" s="7"/>
      <c r="L15" s="7"/>
    </row>
    <row r="16" spans="1:12" ht="15">
      <c r="A16" s="7"/>
      <c r="B16" s="18" t="s">
        <v>21</v>
      </c>
      <c r="C16" s="23">
        <f>C11*30</f>
        <v>702.33533259378783</v>
      </c>
      <c r="D16" s="25">
        <f>IF(B16="","",D$6)</f>
        <v>7136.4663170633312</v>
      </c>
      <c r="E16" s="25">
        <f>IF(D16="","",D16*2)</f>
        <v>14272.932634126662</v>
      </c>
      <c r="F16" s="22">
        <v>20</v>
      </c>
      <c r="G16" s="26">
        <v>12</v>
      </c>
      <c r="I16" s="7"/>
      <c r="J16" s="7"/>
      <c r="K16" s="7"/>
      <c r="L16" s="7"/>
    </row>
    <row r="17" spans="1:21" ht="15">
      <c r="A17" s="7"/>
      <c r="B17" s="18" t="str">
        <f>IF(C10-12&gt;0, "Producció total 11è mes lactació, IP &gt;= 13","")</f>
        <v>Producció total 11è mes lactació, IP &gt;= 13</v>
      </c>
      <c r="C17" s="23">
        <f>IF(B17="","",C12*30)</f>
        <v>632.10179933440907</v>
      </c>
      <c r="D17" s="23">
        <f>IF(B17="","",D$6+C17)</f>
        <v>7768.5681163977406</v>
      </c>
      <c r="E17" s="23">
        <f>IF(D17="","",D17*2)</f>
        <v>15537.136232795481</v>
      </c>
      <c r="F17" s="20">
        <f>IF(B17="","",22)</f>
        <v>22</v>
      </c>
      <c r="G17" s="27">
        <v>13</v>
      </c>
      <c r="I17" s="7"/>
      <c r="J17" s="7"/>
      <c r="K17" s="7"/>
      <c r="L17" s="7"/>
    </row>
    <row r="18" spans="1:21" ht="15">
      <c r="A18" s="7"/>
      <c r="B18" s="18" t="str">
        <f>IF(C10-13&gt;0,"Producció total 12è mes lactació, IP &gt;= 14","")</f>
        <v>Producció total 12è mes lactació, IP &gt;= 14</v>
      </c>
      <c r="C18" s="23">
        <f>IF(B18="","",C13*30)</f>
        <v>568.89161940096824</v>
      </c>
      <c r="D18" s="23">
        <f>IF(B18="","",D$6+C17+C18)</f>
        <v>8337.4597357987095</v>
      </c>
      <c r="E18" s="23">
        <f>IF(D18="","",D18*2)</f>
        <v>16674.919471597419</v>
      </c>
      <c r="F18" s="20">
        <f>IF(B18="","",24)</f>
        <v>24</v>
      </c>
      <c r="G18" s="27">
        <v>14</v>
      </c>
      <c r="I18" s="7"/>
      <c r="J18" s="7"/>
      <c r="K18" s="7"/>
      <c r="L18" s="7"/>
    </row>
    <row r="19" spans="1:21" ht="15">
      <c r="A19" s="7"/>
      <c r="B19" s="18" t="str">
        <f>IF(C10-14&gt;0,"Produccio total 13è mes lactació, IP &gt;= 15","")</f>
        <v>Produccio total 13è mes lactació, IP &gt;= 15</v>
      </c>
      <c r="C19" s="23">
        <f>IF(B19="","",C14*30)</f>
        <v>512.00245746087137</v>
      </c>
      <c r="D19" s="23">
        <f>IF(B19="","",D$6+C17+C18+C19)</f>
        <v>8849.4621932595801</v>
      </c>
      <c r="E19" s="23">
        <f>IF(D19="","",D19*2)</f>
        <v>17698.92438651916</v>
      </c>
      <c r="F19" s="20">
        <f>IF(B19="","",26)</f>
        <v>26</v>
      </c>
      <c r="G19" s="27">
        <v>15</v>
      </c>
      <c r="I19" s="7"/>
      <c r="J19" s="7"/>
      <c r="K19" s="7"/>
      <c r="L19" s="7"/>
    </row>
    <row r="20" spans="1:21" ht="15">
      <c r="A20" s="7"/>
      <c r="B20" s="19" t="str">
        <f>IF(C10-15&gt;0,"Producció total 14è mes lactació, IP = 16","")</f>
        <v>Producció total 14è mes lactació, IP = 16</v>
      </c>
      <c r="C20" s="24">
        <f>IF(B20="","",C15*30)</f>
        <v>460.80221171478428</v>
      </c>
      <c r="D20" s="24">
        <f>IF(B20="","",D$6+C17+C18+C19+C20)</f>
        <v>9310.2644049743649</v>
      </c>
      <c r="E20" s="24">
        <f>IF(D20="","",D20*2)</f>
        <v>18620.52880994873</v>
      </c>
      <c r="F20" s="21">
        <f>IF(B20="","",28)</f>
        <v>28</v>
      </c>
      <c r="G20" s="28">
        <v>16</v>
      </c>
      <c r="I20" s="7"/>
      <c r="J20" s="7"/>
      <c r="K20" s="7"/>
      <c r="L20" s="7"/>
    </row>
    <row r="21" spans="1:21" ht="12.75" customHeight="1">
      <c r="A21" s="49" t="s">
        <v>28</v>
      </c>
      <c r="B21" s="50"/>
      <c r="C21" s="49"/>
      <c r="D21" s="49"/>
      <c r="E21" s="49"/>
      <c r="F21" s="49"/>
      <c r="G21" s="49"/>
      <c r="I21" s="7"/>
      <c r="J21" s="7"/>
      <c r="K21" s="7"/>
      <c r="L21" s="7"/>
    </row>
    <row r="22" spans="1:21" ht="5.25" customHeight="1">
      <c r="A22" s="51"/>
      <c r="B22" s="51"/>
      <c r="C22" s="51"/>
      <c r="D22" s="51"/>
      <c r="E22" s="51"/>
      <c r="F22" s="51"/>
      <c r="G22" s="51"/>
      <c r="I22" s="7"/>
      <c r="J22" s="7"/>
      <c r="K22" s="7"/>
      <c r="L22" s="7"/>
    </row>
    <row r="23" spans="1:21" ht="12.75" customHeight="1">
      <c r="A23" s="43" t="s">
        <v>20</v>
      </c>
      <c r="B23" s="39" t="s">
        <v>26</v>
      </c>
      <c r="C23" s="39" t="s">
        <v>27</v>
      </c>
      <c r="D23" s="39" t="s">
        <v>29</v>
      </c>
      <c r="E23" s="39" t="s">
        <v>30</v>
      </c>
      <c r="F23" s="39" t="s">
        <v>31</v>
      </c>
      <c r="G23" s="41" t="s">
        <v>32</v>
      </c>
      <c r="I23" s="7"/>
      <c r="J23" s="7"/>
      <c r="K23" s="7"/>
      <c r="L23" s="7"/>
    </row>
    <row r="24" spans="1:21">
      <c r="A24" s="44"/>
      <c r="B24" s="40"/>
      <c r="C24" s="40"/>
      <c r="D24" s="40"/>
      <c r="E24" s="40"/>
      <c r="F24" s="40"/>
      <c r="G24" s="42"/>
    </row>
    <row r="25" spans="1:21">
      <c r="A25" s="44"/>
      <c r="B25" s="40"/>
      <c r="C25" s="40"/>
      <c r="D25" s="40"/>
      <c r="E25" s="40"/>
      <c r="F25" s="40"/>
      <c r="G25" s="42"/>
    </row>
    <row r="26" spans="1:21" ht="15">
      <c r="A26" s="25">
        <v>12</v>
      </c>
      <c r="B26" s="25">
        <f>IF(B16="","",E16*$F$5/100)</f>
        <v>4281.8797902379993</v>
      </c>
      <c r="C26" s="25">
        <f>IF(B26="","",$F$4*F16*30)</f>
        <v>2382</v>
      </c>
      <c r="D26" s="25">
        <f>IF(C26="","",B26-C26)</f>
        <v>1899.8797902379993</v>
      </c>
      <c r="E26" s="22">
        <f>IF(D26="","",D26/F16)</f>
        <v>94.993989511899969</v>
      </c>
      <c r="F26" s="22">
        <f>IF(E26="","",E26/309)</f>
        <v>0.30742391427799343</v>
      </c>
      <c r="G26" s="29">
        <f>IF(F26="","",100*D26/E16)</f>
        <v>13.311068152142582</v>
      </c>
    </row>
    <row r="27" spans="1:21" ht="15">
      <c r="A27" s="23">
        <v>13</v>
      </c>
      <c r="B27" s="23">
        <f>IF(B17="","",E17*$F$5/100)</f>
        <v>4661.140869838644</v>
      </c>
      <c r="C27" s="23">
        <f>IF(B27="","",$F$4*F17*30)</f>
        <v>2620.2000000000003</v>
      </c>
      <c r="D27" s="23">
        <f>IF(C27="","",B27-C27)</f>
        <v>2040.9408698386437</v>
      </c>
      <c r="E27" s="20">
        <f>IF(D27="","",D27/F17)</f>
        <v>92.770039538120173</v>
      </c>
      <c r="F27" s="20">
        <f>IF(E27="","",E27/309)</f>
        <v>0.30022666517190993</v>
      </c>
      <c r="G27" s="30">
        <f>IF(F27="","",100*D27/E17)</f>
        <v>13.135888359726588</v>
      </c>
    </row>
    <row r="28" spans="1:21" ht="15">
      <c r="A28" s="23">
        <v>14</v>
      </c>
      <c r="B28" s="23">
        <f>IF(B18="","",E18*$F$5/100)</f>
        <v>5002.4758414792259</v>
      </c>
      <c r="C28" s="23">
        <f>IF(B28="","",$F$4*F18*30)</f>
        <v>2858.4</v>
      </c>
      <c r="D28" s="23">
        <f>IF(C28="","",B28-C28)</f>
        <v>2144.0758414792258</v>
      </c>
      <c r="E28" s="20">
        <f>IF(D28="","",D28/F18)</f>
        <v>89.336493394967746</v>
      </c>
      <c r="F28" s="20">
        <f>IF(E28="","",E28/309)</f>
        <v>0.28911486535588266</v>
      </c>
      <c r="G28" s="30">
        <f>IF(F28="","",100*D28/E18)</f>
        <v>12.858088131287559</v>
      </c>
    </row>
    <row r="29" spans="1:21" ht="15">
      <c r="A29" s="23">
        <v>15</v>
      </c>
      <c r="B29" s="23">
        <f>IF(B19="","",E19*$F$5/100)</f>
        <v>5309.6773159557479</v>
      </c>
      <c r="C29" s="23">
        <f>IF(B29="","",$F$4*F19*30)</f>
        <v>3096.6</v>
      </c>
      <c r="D29" s="23">
        <f>IF(C29="","",B29-C29)</f>
        <v>2213.077315955748</v>
      </c>
      <c r="E29" s="20">
        <f>IF(D29="","",D29/F19)</f>
        <v>85.118358305990313</v>
      </c>
      <c r="F29" s="20">
        <f>IF(E29="","",E29/309)</f>
        <v>0.2754639427378327</v>
      </c>
      <c r="G29" s="30">
        <f>IF(F29="","",100*D29/E19)</f>
        <v>12.504021530491395</v>
      </c>
    </row>
    <row r="30" spans="1:21" ht="15">
      <c r="A30" s="24">
        <v>16</v>
      </c>
      <c r="B30" s="24">
        <f>IF(B20="","",E20*$F$5/100)</f>
        <v>5586.1586429846193</v>
      </c>
      <c r="C30" s="24">
        <f>IF(B30="","",$F$4*F20*30)</f>
        <v>3334.8</v>
      </c>
      <c r="D30" s="24">
        <f>IF(C30="","",B30-C30)</f>
        <v>2251.3586429846191</v>
      </c>
      <c r="E30" s="21">
        <f>IF(D30="","",D30/F20)</f>
        <v>80.40566582087925</v>
      </c>
      <c r="F30" s="21">
        <f>IF(E30="","",E30/309)</f>
        <v>0.26021251074718205</v>
      </c>
      <c r="G30" s="31">
        <f>IF(F30="","",100*D30/E20)</f>
        <v>12.090734188933155</v>
      </c>
    </row>
    <row r="31" spans="1:21">
      <c r="A31" s="14"/>
      <c r="B31" s="15"/>
      <c r="C31" s="15"/>
      <c r="D31" s="15"/>
      <c r="E31" s="15"/>
      <c r="F31" s="15"/>
      <c r="G31" s="16"/>
      <c r="I31" s="7"/>
      <c r="J31" s="7"/>
      <c r="K31" s="7"/>
      <c r="L31" s="7"/>
      <c r="N31" s="7"/>
      <c r="O31" s="7"/>
      <c r="P31" s="7"/>
      <c r="Q31" s="7"/>
      <c r="R31" s="7"/>
      <c r="S31" s="7"/>
      <c r="T31" s="7"/>
      <c r="U31" s="7"/>
    </row>
    <row r="32" spans="1:21">
      <c r="A32" s="7"/>
      <c r="B32" s="7"/>
      <c r="C32" s="7"/>
      <c r="D32" s="7"/>
      <c r="E32" s="7"/>
      <c r="F32" s="7"/>
      <c r="G32" s="7"/>
      <c r="I32" s="7"/>
      <c r="J32" s="7"/>
      <c r="K32" s="7"/>
      <c r="L32" s="7"/>
      <c r="N32" s="7"/>
      <c r="O32" s="7"/>
      <c r="P32" s="7"/>
      <c r="Q32" s="7"/>
      <c r="R32" s="7"/>
      <c r="S32" s="7"/>
      <c r="T32" s="7"/>
      <c r="U32" s="7"/>
    </row>
    <row r="33" spans="1:21">
      <c r="A33" s="7"/>
      <c r="B33" s="7"/>
      <c r="C33" s="7"/>
      <c r="D33" s="7"/>
      <c r="E33" s="7"/>
      <c r="F33" s="7"/>
      <c r="G33" s="7"/>
      <c r="I33" s="7"/>
      <c r="J33" s="7"/>
      <c r="K33" s="7"/>
      <c r="L33" s="7"/>
      <c r="N33" s="7"/>
      <c r="O33" s="7"/>
      <c r="P33" s="7"/>
      <c r="Q33" s="7"/>
      <c r="R33" s="7"/>
      <c r="S33" s="7"/>
      <c r="T33" s="7"/>
      <c r="U33" s="7"/>
    </row>
    <row r="34" spans="1:21">
      <c r="A34" s="7"/>
      <c r="B34" s="7"/>
      <c r="C34" s="7"/>
      <c r="D34" s="7"/>
      <c r="E34" s="7"/>
      <c r="F34" s="7"/>
      <c r="G34" s="7"/>
      <c r="I34" s="7"/>
      <c r="J34" s="7"/>
      <c r="K34" s="7"/>
      <c r="L34" s="7"/>
      <c r="N34" s="7"/>
      <c r="O34" s="7"/>
      <c r="P34" s="7"/>
      <c r="Q34" s="7"/>
      <c r="R34" s="7"/>
      <c r="S34" s="7"/>
      <c r="T34" s="7"/>
      <c r="U34" s="7"/>
    </row>
    <row r="35" spans="1:21">
      <c r="A35" s="7"/>
      <c r="B35" s="7"/>
      <c r="C35" s="7"/>
      <c r="D35" s="7"/>
      <c r="E35" s="7"/>
      <c r="F35" s="7"/>
      <c r="G35" s="7"/>
      <c r="I35" s="7"/>
      <c r="J35" s="7"/>
      <c r="K35" s="7"/>
      <c r="L35" s="7"/>
      <c r="N35" s="7"/>
      <c r="O35" s="7"/>
      <c r="P35" s="7"/>
      <c r="Q35" s="7"/>
      <c r="R35" s="7"/>
      <c r="S35" s="7"/>
      <c r="T35" s="7"/>
      <c r="U35" s="7"/>
    </row>
    <row r="36" spans="1:21">
      <c r="A36" s="7"/>
      <c r="B36" s="7"/>
      <c r="C36" s="7"/>
      <c r="D36" s="7"/>
      <c r="E36" s="7"/>
      <c r="F36" s="7"/>
      <c r="G36" s="7"/>
      <c r="I36" s="7"/>
      <c r="J36" s="7"/>
      <c r="K36" s="7"/>
      <c r="L36" s="7"/>
      <c r="N36" s="7"/>
      <c r="O36" s="7"/>
      <c r="P36" s="7"/>
      <c r="Q36" s="7"/>
      <c r="R36" s="7"/>
      <c r="S36" s="7"/>
      <c r="T36" s="7"/>
      <c r="U36" s="7"/>
    </row>
    <row r="37" spans="1:21">
      <c r="A37" s="7"/>
      <c r="B37" s="7"/>
      <c r="C37" s="7"/>
      <c r="D37" s="7"/>
      <c r="E37" s="7"/>
      <c r="F37" s="7"/>
      <c r="G37" s="7"/>
      <c r="I37" s="7"/>
      <c r="J37" s="7"/>
      <c r="K37" s="7"/>
      <c r="L37" s="7"/>
      <c r="N37" s="7"/>
      <c r="O37" s="7"/>
      <c r="P37" s="7"/>
      <c r="Q37" s="7"/>
      <c r="R37" s="7"/>
      <c r="S37" s="7"/>
      <c r="T37" s="7"/>
      <c r="U37" s="7"/>
    </row>
    <row r="38" spans="1:21">
      <c r="A38" s="7"/>
      <c r="B38" s="7"/>
      <c r="C38" s="7"/>
      <c r="D38" s="7"/>
      <c r="E38" s="7"/>
      <c r="F38" s="7"/>
      <c r="G38" s="7"/>
      <c r="I38" s="7"/>
      <c r="J38" s="7"/>
      <c r="K38" s="7"/>
      <c r="L38" s="7"/>
      <c r="N38" s="7"/>
      <c r="O38" s="7"/>
      <c r="P38" s="7"/>
      <c r="Q38" s="7"/>
      <c r="R38" s="7"/>
      <c r="S38" s="7"/>
      <c r="T38" s="7"/>
      <c r="U38" s="7"/>
    </row>
    <row r="39" spans="1:21">
      <c r="A39" s="7"/>
      <c r="B39" s="7"/>
      <c r="C39" s="7"/>
      <c r="D39" s="7"/>
      <c r="E39" s="7"/>
      <c r="F39" s="7"/>
      <c r="G39" s="7"/>
      <c r="I39" s="7"/>
      <c r="J39" s="7"/>
      <c r="K39" s="7"/>
      <c r="L39" s="7"/>
      <c r="N39" s="7"/>
      <c r="O39" s="7"/>
      <c r="P39" s="7"/>
      <c r="Q39" s="7"/>
      <c r="R39" s="7"/>
      <c r="S39" s="7"/>
      <c r="T39" s="7"/>
      <c r="U39" s="7"/>
    </row>
    <row r="40" spans="1:21">
      <c r="A40" s="7"/>
      <c r="B40" s="7"/>
      <c r="C40" s="7"/>
      <c r="D40" s="7"/>
      <c r="E40" s="7"/>
      <c r="F40" s="7"/>
      <c r="G40" s="7"/>
      <c r="I40" s="7"/>
      <c r="J40" s="7"/>
      <c r="K40" s="7"/>
      <c r="L40" s="7"/>
      <c r="N40" s="7"/>
      <c r="O40" s="7"/>
      <c r="P40" s="7"/>
      <c r="Q40" s="7"/>
      <c r="R40" s="7"/>
      <c r="S40" s="7"/>
      <c r="T40" s="7"/>
      <c r="U40" s="7"/>
    </row>
    <row r="41" spans="1:21">
      <c r="A41" s="7"/>
      <c r="B41" s="7"/>
      <c r="C41" s="7"/>
      <c r="D41" s="7"/>
      <c r="E41" s="7"/>
      <c r="F41" s="7"/>
      <c r="G41" s="7"/>
      <c r="I41" s="7"/>
      <c r="J41" s="7"/>
      <c r="K41" s="7"/>
      <c r="L41" s="7"/>
      <c r="N41" s="7"/>
      <c r="O41" s="7"/>
      <c r="P41" s="7"/>
      <c r="Q41" s="7"/>
      <c r="R41" s="7"/>
      <c r="S41" s="7"/>
      <c r="T41" s="7"/>
      <c r="U41" s="7"/>
    </row>
    <row r="42" spans="1:21">
      <c r="A42" s="7"/>
      <c r="B42" s="7"/>
      <c r="C42" s="7"/>
      <c r="D42" s="7"/>
      <c r="E42" s="7"/>
      <c r="F42" s="7"/>
      <c r="G42" s="7"/>
      <c r="I42" s="7"/>
      <c r="J42" s="7"/>
      <c r="K42" s="7"/>
      <c r="L42" s="7"/>
      <c r="N42" s="7"/>
      <c r="O42" s="7"/>
      <c r="P42" s="7"/>
      <c r="Q42" s="7"/>
      <c r="R42" s="7"/>
      <c r="S42" s="7"/>
      <c r="T42" s="7"/>
      <c r="U42" s="7"/>
    </row>
  </sheetData>
  <mergeCells count="17">
    <mergeCell ref="A23:A25"/>
    <mergeCell ref="B23:B25"/>
    <mergeCell ref="B1:C1"/>
    <mergeCell ref="D1:F2"/>
    <mergeCell ref="D14:D15"/>
    <mergeCell ref="E14:E15"/>
    <mergeCell ref="F14:F15"/>
    <mergeCell ref="D4:E4"/>
    <mergeCell ref="D5:E5"/>
    <mergeCell ref="A21:G22"/>
    <mergeCell ref="B2:C3"/>
    <mergeCell ref="F23:F25"/>
    <mergeCell ref="G23:G25"/>
    <mergeCell ref="C23:C25"/>
    <mergeCell ref="D23:D25"/>
    <mergeCell ref="E23:E25"/>
    <mergeCell ref="G14:G15"/>
  </mergeCells>
  <phoneticPr fontId="1" type="noConversion"/>
  <pageMargins left="0.75" right="0.75" top="1" bottom="1" header="0" footer="0"/>
  <pageSetup paperSize="9" orientation="portrait" horizontalDpi="1200" verticalDpi="12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ull2"/>
  <dimension ref="A1:B19"/>
  <sheetViews>
    <sheetView workbookViewId="0">
      <selection activeCell="E25" sqref="E25"/>
    </sheetView>
  </sheetViews>
  <sheetFormatPr baseColWidth="10" defaultColWidth="9.140625" defaultRowHeight="12.75"/>
  <cols>
    <col min="1" max="1" width="17.7109375" bestFit="1" customWidth="1"/>
  </cols>
  <sheetData>
    <row r="1" spans="1:1">
      <c r="A1" s="1" t="s">
        <v>0</v>
      </c>
    </row>
    <row r="2" spans="1:1">
      <c r="A2" s="2" t="s">
        <v>6</v>
      </c>
    </row>
    <row r="3" spans="1:1">
      <c r="A3" t="s">
        <v>3</v>
      </c>
    </row>
    <row r="4" spans="1:1">
      <c r="A4" t="s">
        <v>4</v>
      </c>
    </row>
    <row r="5" spans="1:1">
      <c r="A5" s="1"/>
    </row>
    <row r="6" spans="1:1">
      <c r="A6" s="2"/>
    </row>
    <row r="10" spans="1:1">
      <c r="A10" s="1"/>
    </row>
    <row r="13" spans="1:1">
      <c r="A13" s="1"/>
    </row>
    <row r="19" spans="2:2">
      <c r="B19" t="s">
        <v>5</v>
      </c>
    </row>
  </sheetData>
  <phoneticPr fontId="1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ull3"/>
  <dimension ref="A1:E6"/>
  <sheetViews>
    <sheetView workbookViewId="0">
      <selection activeCell="E10" sqref="E10"/>
    </sheetView>
  </sheetViews>
  <sheetFormatPr baseColWidth="10" defaultColWidth="11.42578125" defaultRowHeight="12.75"/>
  <cols>
    <col min="1" max="1" width="9.140625" customWidth="1"/>
    <col min="2" max="2" width="43.140625" bestFit="1" customWidth="1"/>
    <col min="3" max="3" width="24.85546875" bestFit="1" customWidth="1"/>
    <col min="4" max="4" width="29.28515625" bestFit="1" customWidth="1"/>
    <col min="5" max="5" width="23.85546875" bestFit="1" customWidth="1"/>
    <col min="6" max="6" width="19" bestFit="1" customWidth="1"/>
    <col min="7" max="7" width="15" bestFit="1" customWidth="1"/>
    <col min="8" max="8" width="15.85546875" bestFit="1" customWidth="1"/>
    <col min="9" max="9" width="10.7109375" customWidth="1"/>
    <col min="10" max="10" width="14.28515625" bestFit="1" customWidth="1"/>
    <col min="11" max="11" width="8.85546875" bestFit="1" customWidth="1"/>
    <col min="12" max="12" width="6.7109375" bestFit="1" customWidth="1"/>
    <col min="13" max="13" width="5.5703125" bestFit="1" customWidth="1"/>
  </cols>
  <sheetData>
    <row r="1" spans="1:5" ht="12.75" customHeight="1">
      <c r="A1" t="s">
        <v>19</v>
      </c>
      <c r="B1" t="s">
        <v>14</v>
      </c>
      <c r="C1" t="s">
        <v>15</v>
      </c>
      <c r="D1" t="s">
        <v>16</v>
      </c>
      <c r="E1" t="s">
        <v>17</v>
      </c>
    </row>
    <row r="2" spans="1:5">
      <c r="A2">
        <v>12</v>
      </c>
      <c r="B2" s="3">
        <f>Càlculs!D26</f>
        <v>1899.8797902379993</v>
      </c>
      <c r="C2" s="4">
        <f>Càlculs!E26</f>
        <v>94.993989511899969</v>
      </c>
      <c r="D2" s="5">
        <f>Càlculs!F26</f>
        <v>0.30742391427799343</v>
      </c>
      <c r="E2" s="5">
        <f>Càlculs!G26</f>
        <v>13.311068152142582</v>
      </c>
    </row>
    <row r="3" spans="1:5">
      <c r="A3">
        <v>13</v>
      </c>
      <c r="B3" s="3">
        <f>Càlculs!D27</f>
        <v>2040.9408698386437</v>
      </c>
      <c r="C3" s="4">
        <f>Càlculs!E27</f>
        <v>92.770039538120173</v>
      </c>
      <c r="D3" s="5">
        <f>Càlculs!F27</f>
        <v>0.30022666517190993</v>
      </c>
      <c r="E3" s="5">
        <f>Càlculs!G27</f>
        <v>13.135888359726588</v>
      </c>
    </row>
    <row r="4" spans="1:5">
      <c r="A4">
        <v>14</v>
      </c>
      <c r="B4" s="3">
        <f>Càlculs!D28</f>
        <v>2144.0758414792258</v>
      </c>
      <c r="C4" s="4">
        <f>Càlculs!E28</f>
        <v>89.336493394967746</v>
      </c>
      <c r="D4" s="5">
        <f>Càlculs!F28</f>
        <v>0.28911486535588266</v>
      </c>
      <c r="E4" s="5">
        <f>Càlculs!G28</f>
        <v>12.858088131287559</v>
      </c>
    </row>
    <row r="5" spans="1:5">
      <c r="A5">
        <v>15</v>
      </c>
      <c r="B5" s="3">
        <f>Càlculs!D29</f>
        <v>2213.077315955748</v>
      </c>
      <c r="C5" s="4">
        <f>Càlculs!E29</f>
        <v>85.118358305990313</v>
      </c>
      <c r="D5" s="5">
        <f>Càlculs!F29</f>
        <v>0.2754639427378327</v>
      </c>
      <c r="E5" s="5">
        <f>Càlculs!G29</f>
        <v>12.504021530491395</v>
      </c>
    </row>
    <row r="6" spans="1:5">
      <c r="A6">
        <v>16</v>
      </c>
      <c r="B6" s="3">
        <f>Càlculs!D30</f>
        <v>2251.3586429846191</v>
      </c>
      <c r="C6" s="4">
        <f>Càlculs!E30</f>
        <v>80.40566582087925</v>
      </c>
      <c r="D6" s="5">
        <f>Càlculs!F30</f>
        <v>0.26021251074718205</v>
      </c>
      <c r="E6" s="5">
        <f>Càlculs!G30</f>
        <v>12.090734188933155</v>
      </c>
    </row>
  </sheetData>
  <phoneticPr fontId="0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Gráficos</vt:lpstr>
      </vt:variant>
      <vt:variant>
        <vt:i4>3</vt:i4>
      </vt:variant>
    </vt:vector>
  </HeadingPairs>
  <TitlesOfParts>
    <vt:vector size="7" baseType="lpstr">
      <vt:lpstr>Instruccions d'ús</vt:lpstr>
      <vt:lpstr>Càlculs</vt:lpstr>
      <vt:lpstr>Criteris</vt:lpstr>
      <vt:lpstr>Dades gràfics</vt:lpstr>
      <vt:lpstr>Gràfic MB dues lactacions</vt:lpstr>
      <vt:lpstr>Gràfic MB mensual 2 lactacions</vt:lpstr>
      <vt:lpstr>Gràfic MB_litre dues lactacions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 Seguí</dc:creator>
  <cp:lastModifiedBy> </cp:lastModifiedBy>
  <dcterms:created xsi:type="dcterms:W3CDTF">2004-02-25T19:37:56Z</dcterms:created>
  <dcterms:modified xsi:type="dcterms:W3CDTF">2012-11-21T10:04:13Z</dcterms:modified>
</cp:coreProperties>
</file>