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57E" lockStructure="1"/>
  <bookViews>
    <workbookView xWindow="240" yWindow="15" windowWidth="19995" windowHeight="8190"/>
  </bookViews>
  <sheets>
    <sheet name="Valoració nutritiva" sheetId="1" r:id="rId1"/>
    <sheet name="UFL" sheetId="4" r:id="rId2"/>
    <sheet name="UFV" sheetId="5" r:id="rId3"/>
    <sheet name="PDIA" sheetId="6" r:id="rId4"/>
    <sheet name="PDIN" sheetId="7" r:id="rId5"/>
    <sheet name="PDIE" sheetId="8" r:id="rId6"/>
    <sheet name="UEM" sheetId="9" r:id="rId7"/>
    <sheet name="UEL" sheetId="10" r:id="rId8"/>
    <sheet name="UEB" sheetId="11" r:id="rId9"/>
    <sheet name="INGoví" sheetId="12" r:id="rId10"/>
    <sheet name="INGvaca" sheetId="13" r:id="rId11"/>
    <sheet name="INGcabra" sheetId="14" r:id="rId12"/>
    <sheet name="INGbovins" sheetId="15" r:id="rId13"/>
  </sheets>
  <calcPr calcId="144525"/>
</workbook>
</file>

<file path=xl/calcChain.xml><?xml version="1.0" encoding="utf-8"?>
<calcChain xmlns="http://schemas.openxmlformats.org/spreadsheetml/2006/main">
  <c r="B50" i="1" l="1"/>
  <c r="D50" i="1"/>
  <c r="E50" i="1"/>
  <c r="F50" i="1"/>
  <c r="C50" i="1"/>
  <c r="D37" i="1"/>
  <c r="E37" i="1"/>
  <c r="F37" i="1"/>
  <c r="C37" i="1"/>
  <c r="A37" i="1"/>
  <c r="A50" i="1" s="1"/>
  <c r="B19" i="1"/>
  <c r="B37" i="1" s="1"/>
  <c r="F19" i="1"/>
  <c r="D19" i="1"/>
  <c r="E19" i="1"/>
  <c r="C19" i="1"/>
  <c r="E44" i="1" l="1"/>
  <c r="E41" i="1"/>
  <c r="E40" i="1"/>
  <c r="E42" i="1" s="1"/>
  <c r="E20" i="1"/>
  <c r="E23" i="1" s="1"/>
  <c r="D20" i="1"/>
  <c r="D23" i="1" s="1"/>
  <c r="E12" i="1"/>
  <c r="F44" i="1"/>
  <c r="F41" i="1"/>
  <c r="F40" i="1"/>
  <c r="F12" i="1"/>
  <c r="F16" i="1" s="1"/>
  <c r="F21" i="1" s="1"/>
  <c r="F22" i="1" s="1"/>
  <c r="D44" i="1"/>
  <c r="D41" i="1"/>
  <c r="D40" i="1"/>
  <c r="D12" i="1"/>
  <c r="D17" i="1" s="1"/>
  <c r="C44" i="1"/>
  <c r="E45" i="1" l="1"/>
  <c r="E46" i="1" s="1"/>
  <c r="E47" i="1" s="1"/>
  <c r="E48" i="1" s="1"/>
  <c r="D42" i="1"/>
  <c r="F42" i="1"/>
  <c r="F17" i="1"/>
  <c r="F20" i="1" s="1"/>
  <c r="F55" i="1" s="1"/>
  <c r="D16" i="1"/>
  <c r="D21" i="1" s="1"/>
  <c r="D22" i="1" s="1"/>
  <c r="D24" i="1" s="1"/>
  <c r="F53" i="1"/>
  <c r="F54" i="1" s="1"/>
  <c r="F23" i="1"/>
  <c r="F24" i="1" s="1"/>
  <c r="E16" i="1"/>
  <c r="E21" i="1" s="1"/>
  <c r="E22" i="1" s="1"/>
  <c r="E24" i="1" s="1"/>
  <c r="E53" i="1"/>
  <c r="E17" i="1"/>
  <c r="E51" i="1"/>
  <c r="E55" i="1"/>
  <c r="D45" i="1"/>
  <c r="D46" i="1" s="1"/>
  <c r="D47" i="1" s="1"/>
  <c r="D48" i="1" s="1"/>
  <c r="D51" i="1"/>
  <c r="D53" i="1"/>
  <c r="D55" i="1"/>
  <c r="C12" i="1"/>
  <c r="C43" i="1"/>
  <c r="C41" i="1"/>
  <c r="C40" i="1"/>
  <c r="F25" i="1" l="1"/>
  <c r="F45" i="1"/>
  <c r="F46" i="1" s="1"/>
  <c r="F47" i="1" s="1"/>
  <c r="F48" i="1" s="1"/>
  <c r="F51" i="1"/>
  <c r="F57" i="1" s="1"/>
  <c r="D25" i="1"/>
  <c r="F26" i="1"/>
  <c r="F27" i="1" s="1"/>
  <c r="D26" i="1"/>
  <c r="D27" i="1" s="1"/>
  <c r="D31" i="1" s="1"/>
  <c r="E25" i="1"/>
  <c r="E26" i="1" s="1"/>
  <c r="E27" i="1" s="1"/>
  <c r="E32" i="1" s="1"/>
  <c r="F56" i="1"/>
  <c r="F60" i="1"/>
  <c r="E60" i="1"/>
  <c r="E56" i="1"/>
  <c r="E58" i="1"/>
  <c r="E59" i="1"/>
  <c r="E54" i="1"/>
  <c r="E57" i="1"/>
  <c r="E52" i="1"/>
  <c r="F59" i="1"/>
  <c r="F58" i="1"/>
  <c r="D59" i="1"/>
  <c r="D54" i="1"/>
  <c r="D58" i="1"/>
  <c r="C16" i="1"/>
  <c r="C21" i="1" s="1"/>
  <c r="C22" i="1" s="1"/>
  <c r="C17" i="1"/>
  <c r="D56" i="1"/>
  <c r="D60" i="1"/>
  <c r="D57" i="1"/>
  <c r="D52" i="1"/>
  <c r="C42" i="1"/>
  <c r="F52" i="1" l="1"/>
  <c r="D32" i="1"/>
  <c r="D33" i="1" s="1"/>
  <c r="D34" i="1" s="1"/>
  <c r="D35" i="1" s="1"/>
  <c r="D28" i="1"/>
  <c r="D29" i="1" s="1"/>
  <c r="D30" i="1" s="1"/>
  <c r="E28" i="1"/>
  <c r="E29" i="1" s="1"/>
  <c r="E30" i="1" s="1"/>
  <c r="E31" i="1"/>
  <c r="F28" i="1"/>
  <c r="F29" i="1" s="1"/>
  <c r="F30" i="1" s="1"/>
  <c r="F31" i="1"/>
  <c r="F32" i="1"/>
  <c r="E33" i="1"/>
  <c r="E34" i="1" s="1"/>
  <c r="E35" i="1" s="1"/>
  <c r="C25" i="1"/>
  <c r="C20" i="1"/>
  <c r="C23" i="1" s="1"/>
  <c r="C24" i="1" s="1"/>
  <c r="C26" i="1" l="1"/>
  <c r="F33" i="1"/>
  <c r="F34" i="1" s="1"/>
  <c r="F35" i="1" s="1"/>
  <c r="C53" i="1"/>
  <c r="C45" i="1"/>
  <c r="C46" i="1" s="1"/>
  <c r="C47" i="1" s="1"/>
  <c r="C48" i="1" s="1"/>
  <c r="C27" i="1"/>
  <c r="C28" i="1" s="1"/>
  <c r="C29" i="1" s="1"/>
  <c r="C30" i="1" s="1"/>
  <c r="C51" i="1"/>
  <c r="C55" i="1"/>
  <c r="C52" i="1" l="1"/>
  <c r="C57" i="1"/>
  <c r="C56" i="1"/>
  <c r="C60" i="1"/>
  <c r="C54" i="1"/>
  <c r="C58" i="1"/>
  <c r="C59" i="1"/>
  <c r="C32" i="1"/>
  <c r="C31" i="1"/>
  <c r="C33" i="1" l="1"/>
  <c r="C34" i="1" s="1"/>
  <c r="C35" i="1" s="1"/>
</calcChain>
</file>

<file path=xl/sharedStrings.xml><?xml version="1.0" encoding="utf-8"?>
<sst xmlns="http://schemas.openxmlformats.org/spreadsheetml/2006/main" count="127" uniqueCount="76">
  <si>
    <t>-</t>
  </si>
  <si>
    <t>Esquema de cálculo. INRA, 2007</t>
  </si>
  <si>
    <t>Esquema de cálculo para la valoración nutritiva de forrajes (sistema INRA, 2007)</t>
  </si>
  <si>
    <t>Explotación</t>
  </si>
  <si>
    <t>Resultados del análisis químico del alimento</t>
  </si>
  <si>
    <t>Nombre del forraje</t>
  </si>
  <si>
    <t>Maíz</t>
  </si>
  <si>
    <t>Raigrás italiano</t>
  </si>
  <si>
    <t>Alfalfa</t>
  </si>
  <si>
    <t>Cebada</t>
  </si>
  <si>
    <t>Paja</t>
  </si>
  <si>
    <t>Inicio espigado</t>
  </si>
  <si>
    <t>Botones florales</t>
  </si>
  <si>
    <t>Tipo aprovechamiento</t>
  </si>
  <si>
    <t>Análisis</t>
  </si>
  <si>
    <t>Cálculo</t>
  </si>
  <si>
    <t>Tablas INRA</t>
  </si>
  <si>
    <t>Fuente</t>
  </si>
  <si>
    <t>Estado fenológico</t>
  </si>
  <si>
    <t>MS (materia seca) (%)</t>
  </si>
  <si>
    <t>Ensilado</t>
  </si>
  <si>
    <t>Heno</t>
  </si>
  <si>
    <t xml:space="preserve">Valoración energética </t>
  </si>
  <si>
    <t>dMO (digestibilidad materia orgánica) (%)</t>
  </si>
  <si>
    <t>kl (eficiencia lactación)</t>
  </si>
  <si>
    <t>UFL (unidades forrajeras leche)</t>
  </si>
  <si>
    <t>km (eficiencia mantenimiento)</t>
  </si>
  <si>
    <t>kf (eficiencia engorde)</t>
  </si>
  <si>
    <t>kmf (eficiencia carne)</t>
  </si>
  <si>
    <t>UFV (unidades forrajeras carne)</t>
  </si>
  <si>
    <t xml:space="preserve">Valoración proteica </t>
  </si>
  <si>
    <t>dr (degradabilidad real de las proteínas) (%)</t>
  </si>
  <si>
    <t>Tabla 8.11.</t>
  </si>
  <si>
    <t>Anexo 3</t>
  </si>
  <si>
    <t xml:space="preserve">Valoración unidades de repleción </t>
  </si>
  <si>
    <t>Grano pastoso-vítreo</t>
  </si>
  <si>
    <t>dE (digestibilidad de la energía) (%)</t>
  </si>
  <si>
    <t>EM/ED (eficiencia transformación energía digestible a metabolizable)</t>
  </si>
  <si>
    <t>q = EM/EB (eficiencia de transformación energía bruta a metabolizable)</t>
  </si>
  <si>
    <t>DT (degradabilidad teórica de las proteínas) (%)</t>
  </si>
  <si>
    <t>PB (proteína bruta) (g/Kg.  MS)</t>
  </si>
  <si>
    <t>NDF (fibra neutro detergente) (g/Kg.  MS)</t>
  </si>
  <si>
    <t>ADF (fibra ácido detergente) (g/Kg.  MS)</t>
  </si>
  <si>
    <t>FB (fibra bruta) (g/Kg.  MS)</t>
  </si>
  <si>
    <t>Lignina (lignina ácido detergente) (g/Kg.  MS)</t>
  </si>
  <si>
    <t>MO (materia orgánica) (g/Kg.  MS)</t>
  </si>
  <si>
    <t>Cenizas (cenizas) (g/Kg.  MS)</t>
  </si>
  <si>
    <t>EE (extracto etéreo o grasa bruta) (g/Kg.  MS)</t>
  </si>
  <si>
    <t>EE estimado (extracto etéreo o grasa bruta estimado según tablas, en caso de no disponer de análisis) (g/Kg.  MS)</t>
  </si>
  <si>
    <t>PB (proteína bruta) (g/Kg.  MO)</t>
  </si>
  <si>
    <t>FB (fibra bruta) (g/Kg.  MO)</t>
  </si>
  <si>
    <t>EB (energía bruta) (kcal/Kg.  MO)</t>
  </si>
  <si>
    <t>EB (energía bruta) (kcal/Kg.  MS)</t>
  </si>
  <si>
    <t>ED (energía digestible)(kcal/Kg.  MS)</t>
  </si>
  <si>
    <t>EM (energía metabolizable) (kcal/Kg.  MS)</t>
  </si>
  <si>
    <t>ENL (energía neta lactación) (kcal/Kg.  MS)</t>
  </si>
  <si>
    <t>ENC (energía neta carne) (kcal/Kg.  MS)</t>
  </si>
  <si>
    <t>PDIA (proteína digestible intestinal de origen alimenticio) (g/Kg.  MS)</t>
  </si>
  <si>
    <t>PDIMN (proteína digestible en el intestino, de origen microbiano, limitada por el nitrógeno degradable) (g/Kg.  MS)</t>
  </si>
  <si>
    <t>PDIN (proteína digestible en el intestino potencial según N degradado) (g/Kg.  MS); PDIA + PDIMN</t>
  </si>
  <si>
    <t>PFE (productos fermentación ensilados: AGV, ác. láctico y alcoholes) (g/Kg.  MS)</t>
  </si>
  <si>
    <t>MNND (materias nitrogenadas no degradables) (g/Kg.  MS)</t>
  </si>
  <si>
    <t>MOD (materia orgánica digestible) (g/Kg.  MS)</t>
  </si>
  <si>
    <t>MOF (materia orgánica fermentescible) (g/Kg.  MS)</t>
  </si>
  <si>
    <t>PDIME (proteína digestible en el intestino, de origen microbiano, limitada por la energía fermentescible) (g/Kg.  MS)</t>
  </si>
  <si>
    <t>PDIE (proteína digestible en el intestino potencial según energía fermentada) (g/Kg.  MS); PDIA + PDIME</t>
  </si>
  <si>
    <t>QIM (ingestibilidad ovino) (g MS/Kg.  PV0,75)</t>
  </si>
  <si>
    <t>UEM (unidades de repleción ovino) (/Kg.  MS)</t>
  </si>
  <si>
    <t>QIL (ingestibilidad vaca de leche) (g MS/Kg.  PV0,75)</t>
  </si>
  <si>
    <t>UEL (unidades de repleción vaca de leche y caprino) (/Kg.  MS)</t>
  </si>
  <si>
    <t>QIB (ingestibilidad bovinos -terneros/as-) (g MS/Kg.  PV0,75)</t>
  </si>
  <si>
    <t>UEB (unidades de repleción bovinos) (/Kg.  MS)</t>
  </si>
  <si>
    <t>Ingestibilidad ovino (Kg.  MS/día)</t>
  </si>
  <si>
    <t>Ingestibilidad vaca de leche (Kg.  MS/día)</t>
  </si>
  <si>
    <t>Ingestibilidad caprino (Kg.  MS/día)</t>
  </si>
  <si>
    <t>Ingestibilidad bovinos (Kg.  MS/día)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</si>
</sst>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56">
    <xf numFmtId="0" fontId="0" fillId="0" borderId="0" xfId="0"/>
    <xf numFmtId="0" fontId="0" fillId="0" borderId="0" xfId="0" applyFont="1"/>
    <xf numFmtId="0" fontId="0" fillId="3" borderId="0" xfId="0" applyFill="1"/>
    <xf numFmtId="0" fontId="1" fillId="3" borderId="0" xfId="0" applyFont="1" applyFill="1" applyAlignment="1">
      <alignment horizontal="center"/>
    </xf>
    <xf numFmtId="1" fontId="0" fillId="3" borderId="0" xfId="0" applyNumberFormat="1" applyFill="1"/>
    <xf numFmtId="0" fontId="1" fillId="4" borderId="2" xfId="0" applyFont="1" applyFill="1" applyBorder="1"/>
    <xf numFmtId="0" fontId="5" fillId="4" borderId="2" xfId="0" applyFont="1" applyFill="1" applyBorder="1"/>
    <xf numFmtId="0" fontId="1" fillId="4" borderId="2" xfId="0" applyFont="1" applyFill="1" applyBorder="1" applyAlignment="1">
      <alignment horizontal="left"/>
    </xf>
    <xf numFmtId="1" fontId="5" fillId="4" borderId="2" xfId="0" applyNumberFormat="1" applyFont="1" applyFill="1" applyBorder="1"/>
    <xf numFmtId="0" fontId="2" fillId="4" borderId="2" xfId="0" applyFont="1" applyFill="1" applyBorder="1"/>
    <xf numFmtId="0" fontId="1" fillId="4" borderId="2" xfId="0" applyFont="1" applyFill="1" applyBorder="1" applyAlignment="1">
      <alignment horizontal="center"/>
    </xf>
    <xf numFmtId="1" fontId="3" fillId="2" borderId="1" xfId="1" applyNumberFormat="1"/>
    <xf numFmtId="4" fontId="3" fillId="2" borderId="1" xfId="1" applyNumberFormat="1"/>
    <xf numFmtId="3" fontId="3" fillId="2" borderId="1" xfId="1" applyNumberFormat="1"/>
    <xf numFmtId="2" fontId="3" fillId="2" borderId="1" xfId="1" applyNumberFormat="1"/>
    <xf numFmtId="0" fontId="2" fillId="6" borderId="2" xfId="0" applyFont="1" applyFill="1" applyBorder="1"/>
    <xf numFmtId="1" fontId="1" fillId="6" borderId="2" xfId="0" applyNumberFormat="1" applyFont="1" applyFill="1" applyBorder="1" applyAlignment="1">
      <alignment horizontal="center"/>
    </xf>
    <xf numFmtId="0" fontId="0" fillId="6" borderId="2" xfId="0" applyFill="1" applyBorder="1"/>
    <xf numFmtId="0" fontId="1" fillId="6" borderId="2" xfId="0" applyFont="1" applyFill="1" applyBorder="1"/>
    <xf numFmtId="1" fontId="5" fillId="6" borderId="2" xfId="0" applyNumberFormat="1" applyFont="1" applyFill="1" applyBorder="1"/>
    <xf numFmtId="0" fontId="2" fillId="7" borderId="2" xfId="0" applyFont="1" applyFill="1" applyBorder="1"/>
    <xf numFmtId="1" fontId="1" fillId="7" borderId="2" xfId="0" applyNumberFormat="1" applyFont="1" applyFill="1" applyBorder="1" applyAlignment="1">
      <alignment horizontal="center"/>
    </xf>
    <xf numFmtId="0" fontId="0" fillId="7" borderId="2" xfId="0" applyFill="1" applyBorder="1"/>
    <xf numFmtId="0" fontId="1" fillId="7" borderId="2" xfId="0" applyFont="1" applyFill="1" applyBorder="1"/>
    <xf numFmtId="1" fontId="5" fillId="7" borderId="2" xfId="0" applyNumberFormat="1" applyFont="1" applyFill="1" applyBorder="1"/>
    <xf numFmtId="0" fontId="3" fillId="2" borderId="1" xfId="1"/>
    <xf numFmtId="4" fontId="6" fillId="2" borderId="1" xfId="1" applyNumberFormat="1" applyFont="1"/>
    <xf numFmtId="0" fontId="0" fillId="3" borderId="0" xfId="0" applyFont="1" applyFill="1"/>
    <xf numFmtId="0" fontId="0" fillId="7" borderId="2" xfId="0" applyFont="1" applyFill="1" applyBorder="1"/>
    <xf numFmtId="0" fontId="0" fillId="7" borderId="3" xfId="0" applyFont="1" applyFill="1" applyBorder="1"/>
    <xf numFmtId="0" fontId="2" fillId="8" borderId="2" xfId="0" applyFont="1" applyFill="1" applyBorder="1"/>
    <xf numFmtId="1" fontId="5" fillId="8" borderId="2" xfId="0" applyNumberFormat="1" applyFont="1" applyFill="1" applyBorder="1"/>
    <xf numFmtId="0" fontId="1" fillId="8" borderId="2" xfId="0" applyFont="1" applyFill="1" applyBorder="1"/>
    <xf numFmtId="0" fontId="0" fillId="8" borderId="2" xfId="0" applyFont="1" applyFill="1" applyBorder="1"/>
    <xf numFmtId="0" fontId="0" fillId="8" borderId="2" xfId="0" applyFill="1" applyBorder="1"/>
    <xf numFmtId="0" fontId="5" fillId="8" borderId="2" xfId="0" applyFont="1" applyFill="1" applyBorder="1"/>
    <xf numFmtId="1" fontId="6" fillId="2" borderId="1" xfId="1" applyNumberFormat="1" applyFont="1"/>
    <xf numFmtId="0" fontId="0" fillId="5" borderId="0" xfId="0" applyFill="1"/>
    <xf numFmtId="0" fontId="1" fillId="5" borderId="0" xfId="0" applyFont="1" applyFill="1" applyAlignment="1">
      <alignment horizontal="center"/>
    </xf>
    <xf numFmtId="1" fontId="0" fillId="5" borderId="0" xfId="0" applyNumberFormat="1" applyFill="1"/>
    <xf numFmtId="0" fontId="0" fillId="5" borderId="0" xfId="0" applyFont="1" applyFill="1"/>
    <xf numFmtId="0" fontId="0" fillId="5" borderId="0" xfId="0" applyFill="1" applyBorder="1"/>
    <xf numFmtId="4" fontId="0" fillId="7" borderId="3" xfId="0" applyNumberFormat="1" applyFill="1" applyBorder="1" applyProtection="1">
      <protection locked="0"/>
    </xf>
    <xf numFmtId="4" fontId="0" fillId="7" borderId="2" xfId="0" applyNumberFormat="1" applyFill="1" applyBorder="1" applyProtection="1">
      <protection locked="0"/>
    </xf>
    <xf numFmtId="2" fontId="3" fillId="2" borderId="1" xfId="1" applyNumberFormat="1" applyProtection="1">
      <protection locked="0"/>
    </xf>
    <xf numFmtId="2" fontId="6" fillId="2" borderId="1" xfId="1" applyNumberFormat="1" applyFont="1" applyProtection="1">
      <protection locked="0"/>
    </xf>
    <xf numFmtId="1" fontId="3" fillId="2" borderId="1" xfId="1" applyNumberFormat="1" applyProtection="1">
      <protection locked="0"/>
    </xf>
    <xf numFmtId="0" fontId="4" fillId="9" borderId="2" xfId="0" applyFont="1" applyFill="1" applyBorder="1" applyProtection="1">
      <protection locked="0"/>
    </xf>
    <xf numFmtId="164" fontId="4" fillId="9" borderId="2" xfId="0" applyNumberFormat="1" applyFont="1" applyFill="1" applyBorder="1" applyProtection="1">
      <protection locked="0"/>
    </xf>
    <xf numFmtId="0" fontId="5" fillId="4" borderId="2" xfId="0" applyFont="1" applyFill="1" applyBorder="1" applyAlignment="1">
      <alignment horizontal="left"/>
    </xf>
    <xf numFmtId="1" fontId="5" fillId="6" borderId="2" xfId="0" applyNumberFormat="1" applyFont="1" applyFill="1" applyBorder="1" applyAlignment="1">
      <alignment horizontal="left"/>
    </xf>
    <xf numFmtId="3" fontId="0" fillId="7" borderId="3" xfId="0" applyNumberFormat="1" applyFill="1" applyBorder="1" applyProtection="1">
      <protection locked="0"/>
    </xf>
    <xf numFmtId="3" fontId="0" fillId="7" borderId="2" xfId="0" applyNumberFormat="1" applyFill="1" applyBorder="1" applyProtection="1">
      <protection locked="0"/>
    </xf>
    <xf numFmtId="0" fontId="7" fillId="5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" fontId="1" fillId="8" borderId="2" xfId="0" applyNumberFormat="1" applyFont="1" applyFill="1" applyBorder="1" applyAlignment="1">
      <alignment horizontal="center"/>
    </xf>
  </cellXfs>
  <cellStyles count="2">
    <cellStyle name="Cálculo" xfId="1" builtinId="22"/>
    <cellStyle name="Normal" xfId="0" builtinId="0"/>
  </cellStyles>
  <dxfs count="0"/>
  <tableStyles count="0" defaultTableStyle="TableStyleMedium2" defaultPivotStyle="PivotStyleLight16"/>
  <colors>
    <mruColors>
      <color rgb="FF99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styles" Target="styles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nutritiva'!$A$30</c:f>
              <c:strCache>
                <c:ptCount val="1"/>
                <c:pt idx="0">
                  <c:v>UFL (unidades forrajeras leche)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Ensilado</c:v>
                  </c:pt>
                  <c:pt idx="1">
                    <c:v>Ensilado</c:v>
                  </c:pt>
                  <c:pt idx="2">
                    <c:v>Heno</c:v>
                  </c:pt>
                  <c:pt idx="3">
                    <c:v>Paja</c:v>
                  </c:pt>
                </c:lvl>
                <c:lvl>
                  <c:pt idx="0">
                    <c:v>Maíz</c:v>
                  </c:pt>
                  <c:pt idx="1">
                    <c:v>Raigrás italiano</c:v>
                  </c:pt>
                  <c:pt idx="2">
                    <c:v>Alfalfa</c:v>
                  </c:pt>
                  <c:pt idx="3">
                    <c:v>Cebada</c:v>
                  </c:pt>
                </c:lvl>
              </c:multiLvlStrCache>
            </c:multiLvlStrRef>
          </c:cat>
          <c:val>
            <c:numRef>
              <c:f>'Valoració nutritiva'!$C$30:$F$30</c:f>
              <c:numCache>
                <c:formatCode>#,##0.00</c:formatCode>
                <c:ptCount val="4"/>
                <c:pt idx="0">
                  <c:v>0.97063952727566039</c:v>
                </c:pt>
                <c:pt idx="1">
                  <c:v>0.82616077740236449</c:v>
                </c:pt>
                <c:pt idx="2">
                  <c:v>0.65111983733317358</c:v>
                </c:pt>
                <c:pt idx="3">
                  <c:v>0.48923641202641788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03680"/>
        <c:axId val="153334144"/>
      </c:barChart>
      <c:catAx>
        <c:axId val="153303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53334144"/>
        <c:crosses val="autoZero"/>
        <c:auto val="1"/>
        <c:lblAlgn val="ctr"/>
        <c:lblOffset val="100"/>
        <c:noMultiLvlLbl val="0"/>
      </c:catAx>
      <c:valAx>
        <c:axId val="15333414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53303680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nutritiva'!$A$58</c:f>
              <c:strCache>
                <c:ptCount val="1"/>
                <c:pt idx="0">
                  <c:v>Ingestibilidad vaca de leche (Kg.  MS/día)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Ensilado</c:v>
                  </c:pt>
                  <c:pt idx="1">
                    <c:v>Ensilado</c:v>
                  </c:pt>
                  <c:pt idx="2">
                    <c:v>Heno</c:v>
                  </c:pt>
                  <c:pt idx="3">
                    <c:v>Paja</c:v>
                  </c:pt>
                </c:lvl>
                <c:lvl>
                  <c:pt idx="0">
                    <c:v>Maíz</c:v>
                  </c:pt>
                  <c:pt idx="1">
                    <c:v>Raigrás italiano</c:v>
                  </c:pt>
                  <c:pt idx="2">
                    <c:v>Alfalfa</c:v>
                  </c:pt>
                  <c:pt idx="3">
                    <c:v>Cebada</c:v>
                  </c:pt>
                </c:lvl>
              </c:multiLvlStrCache>
            </c:multiLvlStrRef>
          </c:cat>
          <c:val>
            <c:numRef>
              <c:f>'Valoració nutritiva'!$C$58:$F$58</c:f>
              <c:numCache>
                <c:formatCode>0.00</c:formatCode>
                <c:ptCount val="4"/>
                <c:pt idx="0">
                  <c:v>21.887116256264914</c:v>
                </c:pt>
                <c:pt idx="1">
                  <c:v>19.976559034835798</c:v>
                </c:pt>
                <c:pt idx="2">
                  <c:v>19.9205023940908</c:v>
                </c:pt>
                <c:pt idx="3">
                  <c:v>15.591161717414799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848512"/>
        <c:axId val="178850048"/>
      </c:barChart>
      <c:catAx>
        <c:axId val="178848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78850048"/>
        <c:crosses val="autoZero"/>
        <c:auto val="1"/>
        <c:lblAlgn val="ctr"/>
        <c:lblOffset val="100"/>
        <c:noMultiLvlLbl val="0"/>
      </c:catAx>
      <c:valAx>
        <c:axId val="1788500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8848512"/>
        <c:crosses val="autoZero"/>
        <c:crossBetween val="between"/>
      </c:valAx>
    </c:plotArea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nutritiva'!$A$59</c:f>
              <c:strCache>
                <c:ptCount val="1"/>
                <c:pt idx="0">
                  <c:v>Ingestibilidad caprino (Kg.  MS/día)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Ensilado</c:v>
                  </c:pt>
                  <c:pt idx="1">
                    <c:v>Ensilado</c:v>
                  </c:pt>
                  <c:pt idx="2">
                    <c:v>Heno</c:v>
                  </c:pt>
                  <c:pt idx="3">
                    <c:v>Paja</c:v>
                  </c:pt>
                </c:lvl>
                <c:lvl>
                  <c:pt idx="0">
                    <c:v>Maíz</c:v>
                  </c:pt>
                  <c:pt idx="1">
                    <c:v>Raigrás italiano</c:v>
                  </c:pt>
                  <c:pt idx="2">
                    <c:v>Alfalfa</c:v>
                  </c:pt>
                  <c:pt idx="3">
                    <c:v>Cebada</c:v>
                  </c:pt>
                </c:lvl>
              </c:multiLvlStrCache>
            </c:multiLvlStrRef>
          </c:cat>
          <c:val>
            <c:numRef>
              <c:f>'Valoració nutritiva'!$C$59:$F$59</c:f>
              <c:numCache>
                <c:formatCode>0.00</c:formatCode>
                <c:ptCount val="4"/>
                <c:pt idx="0">
                  <c:v>3.4960498345654383</c:v>
                </c:pt>
                <c:pt idx="1">
                  <c:v>3.1908747178575365</c:v>
                </c:pt>
                <c:pt idx="2">
                  <c:v>3.1819207374743619</c:v>
                </c:pt>
                <c:pt idx="3">
                  <c:v>2.4903910457938427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858240"/>
        <c:axId val="178880512"/>
      </c:barChart>
      <c:catAx>
        <c:axId val="178858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78880512"/>
        <c:crosses val="autoZero"/>
        <c:auto val="1"/>
        <c:lblAlgn val="ctr"/>
        <c:lblOffset val="100"/>
        <c:noMultiLvlLbl val="0"/>
      </c:catAx>
      <c:valAx>
        <c:axId val="1788805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8858240"/>
        <c:crosses val="autoZero"/>
        <c:crossBetween val="between"/>
      </c:valAx>
    </c:plotArea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nutritiva'!$A$60</c:f>
              <c:strCache>
                <c:ptCount val="1"/>
                <c:pt idx="0">
                  <c:v>Ingestibilidad bovinos (Kg.  MS/día)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Ensilado</c:v>
                  </c:pt>
                  <c:pt idx="1">
                    <c:v>Ensilado</c:v>
                  </c:pt>
                  <c:pt idx="2">
                    <c:v>Heno</c:v>
                  </c:pt>
                  <c:pt idx="3">
                    <c:v>Paja</c:v>
                  </c:pt>
                </c:lvl>
                <c:lvl>
                  <c:pt idx="0">
                    <c:v>Maíz</c:v>
                  </c:pt>
                  <c:pt idx="1">
                    <c:v>Raigrás italiano</c:v>
                  </c:pt>
                  <c:pt idx="2">
                    <c:v>Alfalfa</c:v>
                  </c:pt>
                  <c:pt idx="3">
                    <c:v>Cebada</c:v>
                  </c:pt>
                </c:lvl>
              </c:multiLvlStrCache>
            </c:multiLvlStrRef>
          </c:cat>
          <c:val>
            <c:numRef>
              <c:f>'Valoració nutritiva'!$C$60:$F$60</c:f>
              <c:numCache>
                <c:formatCode>0.00</c:formatCode>
                <c:ptCount val="4"/>
                <c:pt idx="0">
                  <c:v>8.4936765725741115</c:v>
                </c:pt>
                <c:pt idx="1">
                  <c:v>8.41790544357535</c:v>
                </c:pt>
                <c:pt idx="2">
                  <c:v>8.4521534184896137</c:v>
                </c:pt>
                <c:pt idx="3">
                  <c:v>5.3711855846107222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950144"/>
        <c:axId val="178951680"/>
      </c:barChart>
      <c:catAx>
        <c:axId val="17895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78951680"/>
        <c:crosses val="autoZero"/>
        <c:auto val="1"/>
        <c:lblAlgn val="ctr"/>
        <c:lblOffset val="100"/>
        <c:noMultiLvlLbl val="0"/>
      </c:catAx>
      <c:valAx>
        <c:axId val="178951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895014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nutritiva'!$A$35</c:f>
              <c:strCache>
                <c:ptCount val="1"/>
                <c:pt idx="0">
                  <c:v>UFV (unidades forrajeras carne)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Ensilado</c:v>
                  </c:pt>
                  <c:pt idx="1">
                    <c:v>Ensilado</c:v>
                  </c:pt>
                  <c:pt idx="2">
                    <c:v>Heno</c:v>
                  </c:pt>
                  <c:pt idx="3">
                    <c:v>Paja</c:v>
                  </c:pt>
                </c:lvl>
                <c:lvl>
                  <c:pt idx="0">
                    <c:v>Maíz</c:v>
                  </c:pt>
                  <c:pt idx="1">
                    <c:v>Raigrás italiano</c:v>
                  </c:pt>
                  <c:pt idx="2">
                    <c:v>Alfalfa</c:v>
                  </c:pt>
                  <c:pt idx="3">
                    <c:v>Cebada</c:v>
                  </c:pt>
                </c:lvl>
              </c:multiLvlStrCache>
            </c:multiLvlStrRef>
          </c:cat>
          <c:val>
            <c:numRef>
              <c:f>'Valoració nutritiva'!$C$35:$F$35</c:f>
              <c:numCache>
                <c:formatCode>#,##0.00</c:formatCode>
                <c:ptCount val="4"/>
                <c:pt idx="0">
                  <c:v>0.86706794010156674</c:v>
                </c:pt>
                <c:pt idx="1">
                  <c:v>0.72660349100054311</c:v>
                </c:pt>
                <c:pt idx="2">
                  <c:v>0.53193399981811029</c:v>
                </c:pt>
                <c:pt idx="3">
                  <c:v>0.36879478332873922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91488"/>
        <c:axId val="153393024"/>
      </c:barChart>
      <c:catAx>
        <c:axId val="15339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53393024"/>
        <c:crosses val="autoZero"/>
        <c:auto val="1"/>
        <c:lblAlgn val="ctr"/>
        <c:lblOffset val="100"/>
        <c:noMultiLvlLbl val="0"/>
      </c:catAx>
      <c:valAx>
        <c:axId val="15339302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53391488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nutritiva'!$A$40</c:f>
              <c:strCache>
                <c:ptCount val="1"/>
                <c:pt idx="0">
                  <c:v>PDIA (proteína digestible intestinal de origen alimenticio) (g/Kg.  MS)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Ensilado</c:v>
                  </c:pt>
                  <c:pt idx="1">
                    <c:v>Ensilado</c:v>
                  </c:pt>
                  <c:pt idx="2">
                    <c:v>Heno</c:v>
                  </c:pt>
                  <c:pt idx="3">
                    <c:v>Paja</c:v>
                  </c:pt>
                </c:lvl>
                <c:lvl>
                  <c:pt idx="0">
                    <c:v>Maíz</c:v>
                  </c:pt>
                  <c:pt idx="1">
                    <c:v>Raigrás italiano</c:v>
                  </c:pt>
                  <c:pt idx="2">
                    <c:v>Alfalfa</c:v>
                  </c:pt>
                  <c:pt idx="3">
                    <c:v>Cebada</c:v>
                  </c:pt>
                </c:lvl>
              </c:multiLvlStrCache>
            </c:multiLvlStrRef>
          </c:cat>
          <c:val>
            <c:numRef>
              <c:f>'Valoració nutritiva'!$C$40:$F$40</c:f>
              <c:numCache>
                <c:formatCode>0</c:formatCode>
                <c:ptCount val="4"/>
                <c:pt idx="0">
                  <c:v>17.839920000000003</c:v>
                </c:pt>
                <c:pt idx="1">
                  <c:v>29.743559999999999</c:v>
                </c:pt>
                <c:pt idx="2">
                  <c:v>49.250700000000009</c:v>
                </c:pt>
                <c:pt idx="3">
                  <c:v>11.810400000000001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27040"/>
        <c:axId val="155528576"/>
      </c:barChart>
      <c:catAx>
        <c:axId val="155527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55528576"/>
        <c:crosses val="autoZero"/>
        <c:auto val="1"/>
        <c:lblAlgn val="ctr"/>
        <c:lblOffset val="100"/>
        <c:noMultiLvlLbl val="0"/>
      </c:catAx>
      <c:valAx>
        <c:axId val="1555285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5527040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/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nutritiva'!$A$42</c:f>
              <c:strCache>
                <c:ptCount val="1"/>
                <c:pt idx="0">
                  <c:v>PDIN (proteína digestible en el intestino potencial según N degradado) (g/Kg.  MS); PDIA + PDIMN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Ensilado</c:v>
                  </c:pt>
                  <c:pt idx="1">
                    <c:v>Ensilado</c:v>
                  </c:pt>
                  <c:pt idx="2">
                    <c:v>Heno</c:v>
                  </c:pt>
                  <c:pt idx="3">
                    <c:v>Paja</c:v>
                  </c:pt>
                </c:lvl>
                <c:lvl>
                  <c:pt idx="0">
                    <c:v>Maíz</c:v>
                  </c:pt>
                  <c:pt idx="1">
                    <c:v>Raigrás italiano</c:v>
                  </c:pt>
                  <c:pt idx="2">
                    <c:v>Alfalfa</c:v>
                  </c:pt>
                  <c:pt idx="3">
                    <c:v>Cebada</c:v>
                  </c:pt>
                </c:lvl>
              </c:multiLvlStrCache>
            </c:multiLvlStrRef>
          </c:cat>
          <c:val>
            <c:numRef>
              <c:f>'Valoració nutritiva'!$C$42:$F$42</c:f>
              <c:numCache>
                <c:formatCode>0</c:formatCode>
                <c:ptCount val="4"/>
                <c:pt idx="0">
                  <c:v>50.3922144</c:v>
                </c:pt>
                <c:pt idx="1">
                  <c:v>118.11774240000003</c:v>
                </c:pt>
                <c:pt idx="2">
                  <c:v>111.65016240000001</c:v>
                </c:pt>
                <c:pt idx="3">
                  <c:v>23.980128000000001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00928"/>
        <c:axId val="161102464"/>
      </c:barChart>
      <c:catAx>
        <c:axId val="161100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61102464"/>
        <c:crosses val="autoZero"/>
        <c:auto val="1"/>
        <c:lblAlgn val="ctr"/>
        <c:lblOffset val="100"/>
        <c:noMultiLvlLbl val="0"/>
      </c:catAx>
      <c:valAx>
        <c:axId val="1611024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1100928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nutritiva'!$A$48</c:f>
              <c:strCache>
                <c:ptCount val="1"/>
                <c:pt idx="0">
                  <c:v>PDIE (proteína digestible en el intestino potencial según energía fermentada) (g/Kg.  MS); PDIA + PDIME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Ensilado</c:v>
                  </c:pt>
                  <c:pt idx="1">
                    <c:v>Ensilado</c:v>
                  </c:pt>
                  <c:pt idx="2">
                    <c:v>Heno</c:v>
                  </c:pt>
                  <c:pt idx="3">
                    <c:v>Paja</c:v>
                  </c:pt>
                </c:lvl>
                <c:lvl>
                  <c:pt idx="0">
                    <c:v>Maíz</c:v>
                  </c:pt>
                  <c:pt idx="1">
                    <c:v>Raigrás italiano</c:v>
                  </c:pt>
                  <c:pt idx="2">
                    <c:v>Alfalfa</c:v>
                  </c:pt>
                  <c:pt idx="3">
                    <c:v>Cebada</c:v>
                  </c:pt>
                </c:lvl>
              </c:multiLvlStrCache>
            </c:multiLvlStrRef>
          </c:cat>
          <c:val>
            <c:numRef>
              <c:f>'Valoració nutritiva'!$C$48:$F$48</c:f>
              <c:numCache>
                <c:formatCode>0</c:formatCode>
                <c:ptCount val="4"/>
                <c:pt idx="0">
                  <c:v>71.011721600000016</c:v>
                </c:pt>
                <c:pt idx="1">
                  <c:v>73.268795103999992</c:v>
                </c:pt>
                <c:pt idx="2">
                  <c:v>90.572130912000006</c:v>
                </c:pt>
                <c:pt idx="3">
                  <c:v>50.316831999999998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35232"/>
        <c:axId val="161137024"/>
      </c:barChart>
      <c:catAx>
        <c:axId val="16113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61137024"/>
        <c:crosses val="autoZero"/>
        <c:auto val="1"/>
        <c:lblAlgn val="ctr"/>
        <c:lblOffset val="100"/>
        <c:noMultiLvlLbl val="0"/>
      </c:catAx>
      <c:valAx>
        <c:axId val="161137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1135232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nutritiva'!$A$52</c:f>
              <c:strCache>
                <c:ptCount val="1"/>
                <c:pt idx="0">
                  <c:v>UEM (unidades de repleción ovino) (/Kg.  MS)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Ensilado</c:v>
                  </c:pt>
                  <c:pt idx="1">
                    <c:v>Ensilado</c:v>
                  </c:pt>
                  <c:pt idx="2">
                    <c:v>Heno</c:v>
                  </c:pt>
                  <c:pt idx="3">
                    <c:v>Paja</c:v>
                  </c:pt>
                </c:lvl>
                <c:lvl>
                  <c:pt idx="0">
                    <c:v>Maíz</c:v>
                  </c:pt>
                  <c:pt idx="1">
                    <c:v>Raigrás italiano</c:v>
                  </c:pt>
                  <c:pt idx="2">
                    <c:v>Alfalfa</c:v>
                  </c:pt>
                  <c:pt idx="3">
                    <c:v>Cebada</c:v>
                  </c:pt>
                </c:lvl>
              </c:multiLvlStrCache>
            </c:multiLvlStrRef>
          </c:cat>
          <c:val>
            <c:numRef>
              <c:f>'Valoració nutritiva'!$C$52:$F$52</c:f>
              <c:numCache>
                <c:formatCode>0.00</c:formatCode>
                <c:ptCount val="4"/>
                <c:pt idx="0">
                  <c:v>1.3405909453074578</c:v>
                </c:pt>
                <c:pt idx="1">
                  <c:v>1.3405990704679287</c:v>
                </c:pt>
                <c:pt idx="2">
                  <c:v>1.1241562532825362</c:v>
                </c:pt>
                <c:pt idx="3">
                  <c:v>2.1429870531281892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02560"/>
        <c:axId val="161204096"/>
      </c:barChart>
      <c:catAx>
        <c:axId val="161202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61204096"/>
        <c:crosses val="autoZero"/>
        <c:auto val="1"/>
        <c:lblAlgn val="ctr"/>
        <c:lblOffset val="100"/>
        <c:noMultiLvlLbl val="0"/>
      </c:catAx>
      <c:valAx>
        <c:axId val="1612040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1202560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nutritiva'!$A$54</c:f>
              <c:strCache>
                <c:ptCount val="1"/>
                <c:pt idx="0">
                  <c:v>UEL (unidades de repleción vaca de leche y caprino) (/Kg.  MS)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Ensilado</c:v>
                  </c:pt>
                  <c:pt idx="1">
                    <c:v>Ensilado</c:v>
                  </c:pt>
                  <c:pt idx="2">
                    <c:v>Heno</c:v>
                  </c:pt>
                  <c:pt idx="3">
                    <c:v>Paja</c:v>
                  </c:pt>
                </c:lvl>
                <c:lvl>
                  <c:pt idx="0">
                    <c:v>Maíz</c:v>
                  </c:pt>
                  <c:pt idx="1">
                    <c:v>Raigrás italiano</c:v>
                  </c:pt>
                  <c:pt idx="2">
                    <c:v>Alfalfa</c:v>
                  </c:pt>
                  <c:pt idx="3">
                    <c:v>Cebada</c:v>
                  </c:pt>
                </c:lvl>
              </c:multiLvlStrCache>
            </c:multiLvlStrRef>
          </c:cat>
          <c:val>
            <c:numRef>
              <c:f>'Valoració nutritiva'!$C$54:$F$54</c:f>
              <c:numCache>
                <c:formatCode>0.00</c:formatCode>
                <c:ptCount val="4"/>
                <c:pt idx="0">
                  <c:v>0.916717323624054</c:v>
                </c:pt>
                <c:pt idx="1">
                  <c:v>1.0043921278586014</c:v>
                </c:pt>
                <c:pt idx="2">
                  <c:v>1.0072185048025473</c:v>
                </c:pt>
                <c:pt idx="3">
                  <c:v>1.2869020923489336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001216"/>
        <c:axId val="179002752"/>
      </c:barChart>
      <c:catAx>
        <c:axId val="17900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79002752"/>
        <c:crosses val="autoZero"/>
        <c:auto val="1"/>
        <c:lblAlgn val="ctr"/>
        <c:lblOffset val="100"/>
        <c:noMultiLvlLbl val="0"/>
      </c:catAx>
      <c:valAx>
        <c:axId val="1790027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9001216"/>
        <c:crosses val="autoZero"/>
        <c:crossBetween val="between"/>
      </c:valAx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nutritiva'!$A$56</c:f>
              <c:strCache>
                <c:ptCount val="1"/>
                <c:pt idx="0">
                  <c:v>UEB (unidades de repleción bovinos) (/Kg.  MS)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Ensilado</c:v>
                  </c:pt>
                  <c:pt idx="1">
                    <c:v>Ensilado</c:v>
                  </c:pt>
                  <c:pt idx="2">
                    <c:v>Heno</c:v>
                  </c:pt>
                  <c:pt idx="3">
                    <c:v>Paja</c:v>
                  </c:pt>
                </c:lvl>
                <c:lvl>
                  <c:pt idx="0">
                    <c:v>Maíz</c:v>
                  </c:pt>
                  <c:pt idx="1">
                    <c:v>Raigrás italiano</c:v>
                  </c:pt>
                  <c:pt idx="2">
                    <c:v>Alfalfa</c:v>
                  </c:pt>
                  <c:pt idx="3">
                    <c:v>Cebada</c:v>
                  </c:pt>
                </c:lvl>
              </c:multiLvlStrCache>
            </c:multiLvlStrRef>
          </c:cat>
          <c:val>
            <c:numRef>
              <c:f>'Valoració nutritiva'!$C$56:$F$56</c:f>
              <c:numCache>
                <c:formatCode>0.00</c:formatCode>
                <c:ptCount val="4"/>
                <c:pt idx="0">
                  <c:v>1.000398148186618</c:v>
                </c:pt>
                <c:pt idx="1">
                  <c:v>1.0094029175611925</c:v>
                </c:pt>
                <c:pt idx="2">
                  <c:v>1.0053128349411351</c:v>
                </c:pt>
                <c:pt idx="3">
                  <c:v>1.581970717758215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34976"/>
        <c:axId val="178736512"/>
      </c:barChart>
      <c:catAx>
        <c:axId val="17873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78736512"/>
        <c:crosses val="autoZero"/>
        <c:auto val="1"/>
        <c:lblAlgn val="ctr"/>
        <c:lblOffset val="100"/>
        <c:noMultiLvlLbl val="0"/>
      </c:catAx>
      <c:valAx>
        <c:axId val="1787365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8734976"/>
        <c:crosses val="autoZero"/>
        <c:crossBetween val="between"/>
      </c:valAx>
    </c:plotArea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nutritiva'!$A$57</c:f>
              <c:strCache>
                <c:ptCount val="1"/>
                <c:pt idx="0">
                  <c:v>Ingestibilidad ovino (Kg.  MS/día)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Ensilado</c:v>
                  </c:pt>
                  <c:pt idx="1">
                    <c:v>Ensilado</c:v>
                  </c:pt>
                  <c:pt idx="2">
                    <c:v>Heno</c:v>
                  </c:pt>
                  <c:pt idx="3">
                    <c:v>Paja</c:v>
                  </c:pt>
                </c:lvl>
                <c:lvl>
                  <c:pt idx="0">
                    <c:v>Maíz</c:v>
                  </c:pt>
                  <c:pt idx="1">
                    <c:v>Raigrás italiano</c:v>
                  </c:pt>
                  <c:pt idx="2">
                    <c:v>Alfalfa</c:v>
                  </c:pt>
                  <c:pt idx="3">
                    <c:v>Cebada</c:v>
                  </c:pt>
                </c:lvl>
              </c:multiLvlStrCache>
            </c:multiLvlStrRef>
          </c:cat>
          <c:val>
            <c:numRef>
              <c:f>'Valoració nutritiva'!$C$57:$F$57</c:f>
              <c:numCache>
                <c:formatCode>0.00</c:formatCode>
                <c:ptCount val="4"/>
                <c:pt idx="0">
                  <c:v>1.2807076366013079</c:v>
                </c:pt>
                <c:pt idx="1">
                  <c:v>1.2806998744334139</c:v>
                </c:pt>
                <c:pt idx="2">
                  <c:v>1.527283290201398</c:v>
                </c:pt>
                <c:pt idx="3">
                  <c:v>0.80117379090443153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56992"/>
        <c:axId val="178783360"/>
      </c:barChart>
      <c:catAx>
        <c:axId val="178756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78783360"/>
        <c:crosses val="autoZero"/>
        <c:auto val="1"/>
        <c:lblAlgn val="ctr"/>
        <c:lblOffset val="100"/>
        <c:noMultiLvlLbl val="0"/>
      </c:catAx>
      <c:valAx>
        <c:axId val="178783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875699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</xdr:colOff>
      <xdr:row>0</xdr:row>
      <xdr:rowOff>0</xdr:rowOff>
    </xdr:from>
    <xdr:to>
      <xdr:col>15</xdr:col>
      <xdr:colOff>736763</xdr:colOff>
      <xdr:row>18</xdr:row>
      <xdr:rowOff>11430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4" y="0"/>
          <a:ext cx="6994684" cy="3583305"/>
        </a:xfrm>
        <a:prstGeom prst="rect">
          <a:avLst/>
        </a:prstGeom>
        <a:solidFill>
          <a:schemeClr val="bg2"/>
        </a:solidFill>
      </xdr:spPr>
    </xdr:pic>
    <xdr:clientData/>
  </xdr:twoCellAnchor>
  <xdr:twoCellAnchor>
    <xdr:from>
      <xdr:col>7</xdr:col>
      <xdr:colOff>95250</xdr:colOff>
      <xdr:row>19</xdr:row>
      <xdr:rowOff>66675</xdr:rowOff>
    </xdr:from>
    <xdr:to>
      <xdr:col>15</xdr:col>
      <xdr:colOff>733425</xdr:colOff>
      <xdr:row>33</xdr:row>
      <xdr:rowOff>9525</xdr:rowOff>
    </xdr:to>
    <xdr:sp macro="" textlink="">
      <xdr:nvSpPr>
        <xdr:cNvPr id="3" name="2 CuadroTexto"/>
        <xdr:cNvSpPr txBox="1"/>
      </xdr:nvSpPr>
      <xdr:spPr>
        <a:xfrm>
          <a:off x="10677525" y="3829050"/>
          <a:ext cx="6896100" cy="2609850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En esta hoja se incluyen ejemplos de cálculo de la valoración nutritiva de los forrajes (energía, proteína y repleción (hartazgo, encombrement) según el sistema INRA, con las correcciones hechas en 2007 (Alimentation des bovins, ovins et caprins. Besoins des animaux - Valeurs des aliments. Tables INRA 2007).</a:t>
          </a:r>
          <a:br>
            <a:rPr lang="ca-ES" sz="1100"/>
          </a:br>
          <a:r>
            <a:rPr lang="ca-ES" sz="1100"/>
            <a:t/>
          </a:r>
          <a:br>
            <a:rPr lang="ca-ES" sz="1100"/>
          </a:br>
          <a:r>
            <a:rPr lang="ca-ES" sz="1100"/>
            <a:t>Los datos a introducir para cada forraje (nombre, tipo, estado fenológico, datos de los análisis) se hacen en las casillas no protegidas (aquellas donde la Fuente indica explotación o análisis). El resto son cálculos, aplicando las fórmulas INRA.</a:t>
          </a:r>
          <a:br>
            <a:rPr lang="ca-ES" sz="1100"/>
          </a:br>
          <a:r>
            <a:rPr lang="ca-ES" sz="1100"/>
            <a:t/>
          </a:r>
          <a:br>
            <a:rPr lang="ca-ES" sz="1100"/>
          </a:br>
          <a:r>
            <a:rPr lang="ca-ES" sz="1100"/>
            <a:t>Los cálculos nos llevan a UFL, UFV, PDIA, PDIN, PDIE, UEL, UEB y UEM.</a:t>
          </a:r>
          <a:br>
            <a:rPr lang="ca-ES" sz="1100"/>
          </a:br>
          <a:r>
            <a:rPr lang="ca-ES" sz="1100"/>
            <a:t/>
          </a:r>
          <a:br>
            <a:rPr lang="ca-ES" sz="1100"/>
          </a:br>
          <a:r>
            <a:rPr lang="ca-ES" sz="1100"/>
            <a:t>El resto de hojas (UFL .... INGbovins) son representaciones de los diferentes valores que nos servirán para compararlos.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Normal="100" workbookViewId="0">
      <selection activeCell="H37" sqref="H37"/>
    </sheetView>
  </sheetViews>
  <sheetFormatPr baseColWidth="10" defaultRowHeight="15" x14ac:dyDescent="0.25"/>
  <cols>
    <col min="1" max="1" width="105.7109375" bestFit="1" customWidth="1"/>
    <col min="2" max="2" width="12.140625" bestFit="1" customWidth="1"/>
    <col min="3" max="3" width="19.5703125" bestFit="1" customWidth="1"/>
    <col min="4" max="4" width="14.42578125" bestFit="1" customWidth="1"/>
    <col min="5" max="5" width="13.140625" bestFit="1" customWidth="1"/>
    <col min="6" max="6" width="7.5703125" bestFit="1" customWidth="1"/>
    <col min="7" max="7" width="3.28515625" customWidth="1"/>
    <col min="9" max="9" width="12.28515625" bestFit="1" customWidth="1"/>
    <col min="13" max="13" width="13" bestFit="1" customWidth="1"/>
  </cols>
  <sheetData>
    <row r="1" spans="1:16" ht="18.75" x14ac:dyDescent="0.3">
      <c r="A1" s="53" t="s">
        <v>2</v>
      </c>
      <c r="B1" s="53"/>
      <c r="C1" s="53"/>
      <c r="D1" s="53"/>
      <c r="E1" s="53"/>
      <c r="F1" s="53"/>
      <c r="G1" s="37"/>
      <c r="H1" s="2"/>
      <c r="I1" s="2"/>
      <c r="J1" s="2"/>
      <c r="K1" s="2"/>
      <c r="L1" s="2"/>
      <c r="M1" s="2"/>
      <c r="N1" s="2"/>
      <c r="O1" s="2"/>
      <c r="P1" s="2"/>
    </row>
    <row r="2" spans="1:16" ht="18.75" x14ac:dyDescent="0.3">
      <c r="A2" s="9" t="s">
        <v>4</v>
      </c>
      <c r="B2" s="10" t="s">
        <v>17</v>
      </c>
      <c r="C2" s="37"/>
      <c r="D2" s="37"/>
      <c r="E2" s="37"/>
      <c r="F2" s="37"/>
      <c r="G2" s="38"/>
      <c r="H2" s="3"/>
      <c r="I2" s="3"/>
      <c r="J2" s="3"/>
      <c r="K2" s="3"/>
      <c r="L2" s="3"/>
      <c r="M2" s="3"/>
      <c r="N2" s="2"/>
      <c r="O2" s="2"/>
      <c r="P2" s="2"/>
    </row>
    <row r="3" spans="1:16" x14ac:dyDescent="0.25">
      <c r="A3" s="5" t="s">
        <v>5</v>
      </c>
      <c r="B3" s="49" t="s">
        <v>3</v>
      </c>
      <c r="C3" s="47" t="s">
        <v>6</v>
      </c>
      <c r="D3" s="47" t="s">
        <v>7</v>
      </c>
      <c r="E3" s="47" t="s">
        <v>8</v>
      </c>
      <c r="F3" s="47" t="s">
        <v>9</v>
      </c>
      <c r="G3" s="38"/>
      <c r="H3" s="3"/>
      <c r="I3" s="3"/>
      <c r="J3" s="3"/>
      <c r="K3" s="3"/>
      <c r="L3" s="3"/>
      <c r="M3" s="3"/>
      <c r="N3" s="2"/>
      <c r="O3" s="2"/>
      <c r="P3" s="2"/>
    </row>
    <row r="4" spans="1:16" x14ac:dyDescent="0.25">
      <c r="A4" s="5" t="s">
        <v>13</v>
      </c>
      <c r="B4" s="6" t="s">
        <v>3</v>
      </c>
      <c r="C4" s="47" t="s">
        <v>20</v>
      </c>
      <c r="D4" s="47" t="s">
        <v>20</v>
      </c>
      <c r="E4" s="47" t="s">
        <v>21</v>
      </c>
      <c r="F4" s="47" t="s">
        <v>10</v>
      </c>
      <c r="G4" s="38"/>
      <c r="H4" s="3"/>
      <c r="I4" s="3"/>
      <c r="J4" s="3"/>
      <c r="K4" s="3"/>
      <c r="L4" s="3"/>
      <c r="M4" s="3"/>
      <c r="N4" s="2"/>
      <c r="O4" s="2"/>
      <c r="P4" s="2"/>
    </row>
    <row r="5" spans="1:16" x14ac:dyDescent="0.25">
      <c r="A5" s="5" t="s">
        <v>18</v>
      </c>
      <c r="B5" s="6" t="s">
        <v>3</v>
      </c>
      <c r="C5" s="47" t="s">
        <v>35</v>
      </c>
      <c r="D5" s="47" t="s">
        <v>11</v>
      </c>
      <c r="E5" s="47" t="s">
        <v>12</v>
      </c>
      <c r="F5" s="47" t="s">
        <v>0</v>
      </c>
      <c r="G5" s="38"/>
      <c r="H5" s="3"/>
      <c r="I5" s="3"/>
      <c r="J5" s="3"/>
      <c r="K5" s="3"/>
      <c r="L5" s="3"/>
      <c r="M5" s="3"/>
      <c r="N5" s="2"/>
      <c r="O5" s="2"/>
      <c r="P5" s="2"/>
    </row>
    <row r="6" spans="1:16" x14ac:dyDescent="0.25">
      <c r="A6" s="7" t="s">
        <v>19</v>
      </c>
      <c r="B6" s="6" t="s">
        <v>14</v>
      </c>
      <c r="C6" s="48">
        <v>35</v>
      </c>
      <c r="D6" s="48">
        <v>33.5</v>
      </c>
      <c r="E6" s="48">
        <v>85</v>
      </c>
      <c r="F6" s="48">
        <v>88</v>
      </c>
      <c r="G6" s="37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5" t="s">
        <v>40</v>
      </c>
      <c r="B7" s="6" t="s">
        <v>14</v>
      </c>
      <c r="C7" s="47">
        <v>82</v>
      </c>
      <c r="D7" s="47">
        <v>203</v>
      </c>
      <c r="E7" s="47">
        <v>174</v>
      </c>
      <c r="F7" s="47">
        <v>38</v>
      </c>
      <c r="G7" s="39"/>
      <c r="H7" s="2"/>
      <c r="I7" s="4"/>
      <c r="J7" s="4"/>
      <c r="K7" s="2"/>
      <c r="L7" s="2"/>
      <c r="M7" s="2"/>
      <c r="N7" s="2"/>
      <c r="O7" s="2"/>
      <c r="P7" s="2"/>
    </row>
    <row r="8" spans="1:16" x14ac:dyDescent="0.25">
      <c r="A8" s="5" t="s">
        <v>41</v>
      </c>
      <c r="B8" s="6" t="s">
        <v>14</v>
      </c>
      <c r="C8" s="47">
        <v>416</v>
      </c>
      <c r="D8" s="47">
        <v>539</v>
      </c>
      <c r="E8" s="47">
        <v>548</v>
      </c>
      <c r="F8" s="47">
        <v>798</v>
      </c>
      <c r="G8" s="39"/>
      <c r="H8" s="4"/>
      <c r="I8" s="4"/>
      <c r="J8" s="4"/>
      <c r="K8" s="2"/>
      <c r="L8" s="2"/>
      <c r="M8" s="2"/>
      <c r="N8" s="2"/>
      <c r="O8" s="2"/>
      <c r="P8" s="2"/>
    </row>
    <row r="9" spans="1:16" x14ac:dyDescent="0.25">
      <c r="A9" s="5" t="s">
        <v>42</v>
      </c>
      <c r="B9" s="6" t="s">
        <v>14</v>
      </c>
      <c r="C9" s="47">
        <v>183</v>
      </c>
      <c r="D9" s="47">
        <v>293</v>
      </c>
      <c r="E9" s="47">
        <v>352</v>
      </c>
      <c r="F9" s="47">
        <v>504</v>
      </c>
      <c r="G9" s="39"/>
      <c r="H9" s="4"/>
      <c r="I9" s="4"/>
      <c r="J9" s="4"/>
      <c r="K9" s="2"/>
      <c r="L9" s="2"/>
      <c r="M9" s="2"/>
      <c r="N9" s="2"/>
      <c r="O9" s="2"/>
      <c r="P9" s="2"/>
    </row>
    <row r="10" spans="1:16" x14ac:dyDescent="0.25">
      <c r="A10" s="5" t="s">
        <v>43</v>
      </c>
      <c r="B10" s="6" t="s">
        <v>14</v>
      </c>
      <c r="C10" s="47">
        <v>165</v>
      </c>
      <c r="D10" s="47">
        <v>259</v>
      </c>
      <c r="E10" s="47">
        <v>351</v>
      </c>
      <c r="F10" s="47">
        <v>420</v>
      </c>
      <c r="G10" s="39"/>
      <c r="H10" s="4"/>
      <c r="I10" s="4"/>
      <c r="J10" s="4"/>
      <c r="K10" s="2"/>
      <c r="L10" s="2"/>
      <c r="M10" s="2"/>
      <c r="N10" s="2"/>
      <c r="O10" s="2"/>
      <c r="P10" s="2"/>
    </row>
    <row r="11" spans="1:16" x14ac:dyDescent="0.25">
      <c r="A11" s="5" t="s">
        <v>44</v>
      </c>
      <c r="B11" s="6" t="s">
        <v>14</v>
      </c>
      <c r="C11" s="47"/>
      <c r="D11" s="47"/>
      <c r="E11" s="47"/>
      <c r="F11" s="47"/>
      <c r="G11" s="39"/>
      <c r="H11" s="4"/>
      <c r="I11" s="4"/>
      <c r="J11" s="4"/>
      <c r="K11" s="2"/>
      <c r="L11" s="2"/>
      <c r="M11" s="2"/>
      <c r="N11" s="2"/>
      <c r="O11" s="2"/>
      <c r="P11" s="2"/>
    </row>
    <row r="12" spans="1:16" x14ac:dyDescent="0.25">
      <c r="A12" s="5" t="s">
        <v>45</v>
      </c>
      <c r="B12" s="6" t="s">
        <v>15</v>
      </c>
      <c r="C12" s="25">
        <f>1000-C13</f>
        <v>953</v>
      </c>
      <c r="D12" s="25">
        <f>1000-D13</f>
        <v>841</v>
      </c>
      <c r="E12" s="25">
        <f>1000-E13</f>
        <v>907</v>
      </c>
      <c r="F12" s="25">
        <f>1000-F13</f>
        <v>920</v>
      </c>
      <c r="G12" s="39"/>
      <c r="H12" s="4"/>
      <c r="I12" s="4"/>
      <c r="J12" s="4"/>
      <c r="K12" s="2"/>
      <c r="L12" s="2"/>
      <c r="M12" s="2"/>
      <c r="N12" s="2"/>
      <c r="O12" s="2"/>
      <c r="P12" s="2"/>
    </row>
    <row r="13" spans="1:16" x14ac:dyDescent="0.25">
      <c r="A13" s="5" t="s">
        <v>46</v>
      </c>
      <c r="B13" s="6" t="s">
        <v>14</v>
      </c>
      <c r="C13" s="47">
        <v>47</v>
      </c>
      <c r="D13" s="47">
        <v>159</v>
      </c>
      <c r="E13" s="47">
        <v>93</v>
      </c>
      <c r="F13" s="47">
        <v>80</v>
      </c>
      <c r="G13" s="39"/>
      <c r="H13" s="4"/>
      <c r="I13" s="4"/>
      <c r="J13" s="4"/>
      <c r="K13" s="2"/>
      <c r="L13" s="2"/>
      <c r="M13" s="2"/>
      <c r="N13" s="2"/>
      <c r="O13" s="2"/>
      <c r="P13" s="2"/>
    </row>
    <row r="14" spans="1:16" x14ac:dyDescent="0.25">
      <c r="A14" s="5" t="s">
        <v>47</v>
      </c>
      <c r="B14" s="6" t="s">
        <v>14</v>
      </c>
      <c r="C14" s="47"/>
      <c r="D14" s="47"/>
      <c r="E14" s="47"/>
      <c r="F14" s="47"/>
      <c r="G14" s="39"/>
      <c r="H14" s="4"/>
      <c r="I14" s="4"/>
      <c r="J14" s="4"/>
      <c r="K14" s="2"/>
      <c r="L14" s="2"/>
      <c r="M14" s="2"/>
      <c r="N14" s="2"/>
      <c r="O14" s="2"/>
      <c r="P14" s="2"/>
    </row>
    <row r="15" spans="1:16" x14ac:dyDescent="0.25">
      <c r="A15" s="5" t="s">
        <v>48</v>
      </c>
      <c r="B15" s="8" t="s">
        <v>16</v>
      </c>
      <c r="C15" s="47">
        <v>35</v>
      </c>
      <c r="D15" s="47">
        <v>36</v>
      </c>
      <c r="E15" s="47">
        <v>25</v>
      </c>
      <c r="F15" s="47">
        <v>0</v>
      </c>
      <c r="G15" s="39"/>
      <c r="H15" s="4"/>
      <c r="I15" s="4"/>
      <c r="J15" s="4"/>
      <c r="K15" s="2"/>
      <c r="L15" s="2"/>
      <c r="M15" s="2"/>
      <c r="N15" s="2"/>
      <c r="O15" s="2"/>
      <c r="P15" s="2"/>
    </row>
    <row r="16" spans="1:16" x14ac:dyDescent="0.25">
      <c r="A16" s="5" t="s">
        <v>49</v>
      </c>
      <c r="B16" s="6" t="s">
        <v>15</v>
      </c>
      <c r="C16" s="11">
        <f>(C7*1000)/C12</f>
        <v>86.04407135362014</v>
      </c>
      <c r="D16" s="11">
        <f>(D7*1000)/D12</f>
        <v>241.37931034482759</v>
      </c>
      <c r="E16" s="11">
        <f>(E7*1000)/E12</f>
        <v>191.8412348401323</v>
      </c>
      <c r="F16" s="11">
        <f>(F7*1000)/F12</f>
        <v>41.304347826086953</v>
      </c>
      <c r="G16" s="39"/>
      <c r="H16" s="4"/>
      <c r="I16" s="4"/>
      <c r="J16" s="4"/>
      <c r="K16" s="2"/>
      <c r="L16" s="2"/>
      <c r="M16" s="2"/>
      <c r="N16" s="2"/>
      <c r="O16" s="2"/>
      <c r="P16" s="2"/>
    </row>
    <row r="17" spans="1:16" x14ac:dyDescent="0.25">
      <c r="A17" s="5" t="s">
        <v>50</v>
      </c>
      <c r="B17" s="6" t="s">
        <v>15</v>
      </c>
      <c r="C17" s="11">
        <f>(C10*1000)/C12</f>
        <v>173.13746065057711</v>
      </c>
      <c r="D17" s="11">
        <f>(D10*1000)/D12</f>
        <v>307.96670630202141</v>
      </c>
      <c r="E17" s="11">
        <f>(E10*1000)/E12</f>
        <v>386.99007717750828</v>
      </c>
      <c r="F17" s="11">
        <f>(F10*1000)/F12</f>
        <v>456.52173913043481</v>
      </c>
      <c r="G17" s="39"/>
      <c r="H17" s="4"/>
      <c r="I17" s="4"/>
      <c r="J17" s="4"/>
      <c r="K17" s="2"/>
      <c r="L17" s="2"/>
      <c r="M17" s="2"/>
      <c r="N17" s="2"/>
      <c r="O17" s="2"/>
      <c r="P17" s="2"/>
    </row>
    <row r="18" spans="1:16" ht="18.75" x14ac:dyDescent="0.3">
      <c r="A18" s="15" t="s">
        <v>22</v>
      </c>
      <c r="B18" s="16" t="s">
        <v>17</v>
      </c>
      <c r="C18" s="41"/>
      <c r="D18" s="41"/>
      <c r="E18" s="41"/>
      <c r="F18" s="41"/>
      <c r="G18" s="37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18" t="s">
        <v>5</v>
      </c>
      <c r="B19" s="50" t="str">
        <f>B3</f>
        <v>Explotación</v>
      </c>
      <c r="C19" s="17" t="str">
        <f>C3</f>
        <v>Maíz</v>
      </c>
      <c r="D19" s="17" t="str">
        <f t="shared" ref="D19:F19" si="0">D3</f>
        <v>Raigrás italiano</v>
      </c>
      <c r="E19" s="17" t="str">
        <f t="shared" si="0"/>
        <v>Alfalfa</v>
      </c>
      <c r="F19" s="17" t="str">
        <f t="shared" si="0"/>
        <v>Cebada</v>
      </c>
      <c r="G19" s="37"/>
      <c r="H19" s="54" t="s">
        <v>1</v>
      </c>
      <c r="I19" s="54"/>
      <c r="J19" s="54"/>
      <c r="K19" s="54"/>
      <c r="L19" s="54"/>
      <c r="M19" s="54"/>
      <c r="N19" s="54"/>
      <c r="O19" s="54"/>
      <c r="P19" s="54"/>
    </row>
    <row r="20" spans="1:16" x14ac:dyDescent="0.25">
      <c r="A20" s="18" t="s">
        <v>23</v>
      </c>
      <c r="B20" s="19" t="s">
        <v>15</v>
      </c>
      <c r="C20" s="12">
        <f>79.4-(0.059*C17)+(0.065*C16)</f>
        <v>74.777754459601269</v>
      </c>
      <c r="D20" s="12">
        <f>114.5-(0.153*D10)</f>
        <v>74.87299999999999</v>
      </c>
      <c r="E20" s="12">
        <f>98.5-(0.114*E9)</f>
        <v>58.372</v>
      </c>
      <c r="F20" s="12">
        <f>93.2-(0.104*F17)+(0.025*F16)</f>
        <v>46.754347826086956</v>
      </c>
      <c r="G20" s="37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17" t="s">
        <v>51</v>
      </c>
      <c r="B21" s="19" t="s">
        <v>15</v>
      </c>
      <c r="C21" s="13">
        <f>IF(C6&gt;30,(4487+(2.019*C16)+25),1.02*(4487+(2.019*C16)))</f>
        <v>4685.7229800629593</v>
      </c>
      <c r="D21" s="13">
        <f>1.03*(4531+(1.735*D16)-71)</f>
        <v>5025.1568965517245</v>
      </c>
      <c r="E21" s="13">
        <f>4531+(1.735*E16)+82</f>
        <v>4945.8445424476295</v>
      </c>
      <c r="F21" s="13">
        <f>(4531+(1.735*F16))</f>
        <v>4602.663043478261</v>
      </c>
      <c r="G21" s="37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17" t="s">
        <v>52</v>
      </c>
      <c r="B22" s="19" t="s">
        <v>15</v>
      </c>
      <c r="C22" s="13">
        <f>C21*(C12/1000)</f>
        <v>4465.4939999999997</v>
      </c>
      <c r="D22" s="13">
        <f>D21*(D12/1000)</f>
        <v>4226.1569500000005</v>
      </c>
      <c r="E22" s="13">
        <f>E21*(E12/1000)</f>
        <v>4485.8810000000003</v>
      </c>
      <c r="F22" s="13">
        <f>F21*(F12/1000)</f>
        <v>4234.4500000000007</v>
      </c>
      <c r="G22" s="37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18" t="s">
        <v>36</v>
      </c>
      <c r="B23" s="19" t="s">
        <v>15</v>
      </c>
      <c r="C23" s="12">
        <f>(1.001*C20)-2.86</f>
        <v>71.992532214060859</v>
      </c>
      <c r="D23" s="12">
        <f>(1.0263*D20)-5.723</f>
        <v>71.119159899999985</v>
      </c>
      <c r="E23" s="12">
        <f>(0.985*E20)-2.949</f>
        <v>54.547420000000002</v>
      </c>
      <c r="F23" s="12">
        <f>(0.985*F20)-2.556</f>
        <v>43.497032608695655</v>
      </c>
      <c r="G23" s="37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17" t="s">
        <v>53</v>
      </c>
      <c r="B24" s="19" t="s">
        <v>15</v>
      </c>
      <c r="C24" s="13">
        <f>C22*(C23/100)</f>
        <v>3214.8222064669544</v>
      </c>
      <c r="D24" s="13">
        <f>D22*(D23/100)</f>
        <v>3005.6073188954629</v>
      </c>
      <c r="E24" s="13">
        <f>E22*(E23/100)</f>
        <v>2446.9323497702003</v>
      </c>
      <c r="F24" s="13">
        <f>F22*(F23/100)</f>
        <v>1841.8600972989136</v>
      </c>
      <c r="G24" s="37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17" t="s">
        <v>37</v>
      </c>
      <c r="B25" s="19" t="s">
        <v>15</v>
      </c>
      <c r="C25" s="12">
        <f>(84.17-(0.0099*C17)-(0.0196*C16)+(2.21*1.95))/100</f>
        <v>0.8507897534102834</v>
      </c>
      <c r="D25" s="12">
        <f>(84.17-(0.0099*D17)-(0.0196*D16)+(2.21*1.95))/100</f>
        <v>0.80699595124851375</v>
      </c>
      <c r="E25" s="12">
        <f>(84.17-(0.0099*E17)-(0.0196*E16)+(2.21*1.95))/100</f>
        <v>0.8088821003307608</v>
      </c>
      <c r="F25" s="12">
        <f>(84.17-(0.0099*F17)-(0.0196*F16)+(2.21*1.95))/100</f>
        <v>0.83150369565217386</v>
      </c>
      <c r="G25" s="37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17" t="s">
        <v>54</v>
      </c>
      <c r="B26" s="19" t="s">
        <v>15</v>
      </c>
      <c r="C26" s="13">
        <f>C24*C25</f>
        <v>2735.1377922979232</v>
      </c>
      <c r="D26" s="13">
        <f>D24*D25</f>
        <v>2425.5129373915393</v>
      </c>
      <c r="E26" s="13">
        <f>E24*E25</f>
        <v>1979.2797784494035</v>
      </c>
      <c r="F26" s="13">
        <f>F24*F25</f>
        <v>1531.5134777783192</v>
      </c>
      <c r="G26" s="37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17" t="s">
        <v>38</v>
      </c>
      <c r="B27" s="19" t="s">
        <v>15</v>
      </c>
      <c r="C27" s="12">
        <f>C26/C21</f>
        <v>0.58371734819482923</v>
      </c>
      <c r="D27" s="12">
        <f>D26/D21</f>
        <v>0.48267407114311844</v>
      </c>
      <c r="E27" s="12">
        <f>E26/E21</f>
        <v>0.40019045513102308</v>
      </c>
      <c r="F27" s="12">
        <f>F26/F21</f>
        <v>0.33274507894910876</v>
      </c>
      <c r="G27" s="37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17" t="s">
        <v>24</v>
      </c>
      <c r="B28" s="19" t="s">
        <v>15</v>
      </c>
      <c r="C28" s="12">
        <f>0.6+0.24*(C27-0.57)</f>
        <v>0.60329216356675897</v>
      </c>
      <c r="D28" s="12">
        <f>0.6+0.24*(D27-0.57)</f>
        <v>0.57904177707434845</v>
      </c>
      <c r="E28" s="12">
        <f>0.6+0.24*(E27-0.57)</f>
        <v>0.55924570923144556</v>
      </c>
      <c r="F28" s="12">
        <f>0.6+0.24*(F27-0.57)</f>
        <v>0.54305881894778607</v>
      </c>
      <c r="G28" s="37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17" t="s">
        <v>55</v>
      </c>
      <c r="B29" s="19" t="s">
        <v>15</v>
      </c>
      <c r="C29" s="13">
        <f>C26*C28</f>
        <v>1650.0871963686227</v>
      </c>
      <c r="D29" s="13">
        <f>D26*D28</f>
        <v>1404.4733215840197</v>
      </c>
      <c r="E29" s="13">
        <f>E26*E28</f>
        <v>1106.9037234663951</v>
      </c>
      <c r="F29" s="13">
        <f>F26*F28</f>
        <v>831.70190044491039</v>
      </c>
      <c r="G29" s="37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18" t="s">
        <v>25</v>
      </c>
      <c r="B30" s="19" t="s">
        <v>15</v>
      </c>
      <c r="C30" s="26">
        <f>C29/1700</f>
        <v>0.97063952727566039</v>
      </c>
      <c r="D30" s="26">
        <f>D29/1700</f>
        <v>0.82616077740236449</v>
      </c>
      <c r="E30" s="26">
        <f>E29/1700</f>
        <v>0.65111983733317358</v>
      </c>
      <c r="F30" s="26">
        <f>F29/1700</f>
        <v>0.48923641202641788</v>
      </c>
      <c r="G30" s="37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17" t="s">
        <v>26</v>
      </c>
      <c r="B31" s="19" t="s">
        <v>15</v>
      </c>
      <c r="C31" s="14">
        <f>(0.287*C27)+0.554</f>
        <v>0.72152687893191603</v>
      </c>
      <c r="D31" s="14">
        <f>(0.287*D27)+0.554</f>
        <v>0.69252745841807506</v>
      </c>
      <c r="E31" s="14">
        <f>(0.287*E27)+0.554</f>
        <v>0.66885466062260368</v>
      </c>
      <c r="F31" s="14">
        <f>(0.287*F27)+0.554</f>
        <v>0.64949783765839419</v>
      </c>
      <c r="G31" s="37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17" t="s">
        <v>27</v>
      </c>
      <c r="B32" s="19" t="s">
        <v>15</v>
      </c>
      <c r="C32" s="14">
        <f>(0.78*C27)+0.006</f>
        <v>0.46129953159196685</v>
      </c>
      <c r="D32" s="14">
        <f>(0.78*D27)+0.006</f>
        <v>0.38248577549163243</v>
      </c>
      <c r="E32" s="14">
        <f>(0.78*E27)+0.006</f>
        <v>0.31814855500219802</v>
      </c>
      <c r="F32" s="14">
        <f>(0.78*F27)+0.006</f>
        <v>0.26554116158030483</v>
      </c>
      <c r="G32" s="37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17" t="s">
        <v>28</v>
      </c>
      <c r="B33" s="19" t="s">
        <v>15</v>
      </c>
      <c r="C33" s="14">
        <f>(C31*C32*1.5)/(C32+(0.5*C31))</f>
        <v>0.60732575788075571</v>
      </c>
      <c r="D33" s="14">
        <f>(D31*D32*1.5)/(D32+(0.5*D31))</f>
        <v>0.54521183261267292</v>
      </c>
      <c r="E33" s="14">
        <f>(E31*E32*1.5)/(E32+(0.5*E31))</f>
        <v>0.48912735339892166</v>
      </c>
      <c r="F33" s="14">
        <f>(F31*F32*1.5)/(F32+(0.5*F31))</f>
        <v>0.43826353172679033</v>
      </c>
      <c r="G33" s="37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17" t="s">
        <v>56</v>
      </c>
      <c r="B34" s="19" t="s">
        <v>15</v>
      </c>
      <c r="C34" s="13">
        <f>C26*C33</f>
        <v>1661.1196326156332</v>
      </c>
      <c r="D34" s="13">
        <f>D26*D33</f>
        <v>1322.4183536209885</v>
      </c>
      <c r="E34" s="13">
        <f>E26*E33</f>
        <v>968.11987966896072</v>
      </c>
      <c r="F34" s="13">
        <f>F26*F33</f>
        <v>671.20650565830533</v>
      </c>
      <c r="G34" s="37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18" t="s">
        <v>29</v>
      </c>
      <c r="B35" s="19" t="s">
        <v>15</v>
      </c>
      <c r="C35" s="26">
        <f>(C34/1820)*0.95</f>
        <v>0.86706794010156674</v>
      </c>
      <c r="D35" s="26">
        <f>(D34/1820)</f>
        <v>0.72660349100054311</v>
      </c>
      <c r="E35" s="26">
        <f>(E34/1820)</f>
        <v>0.53193399981811029</v>
      </c>
      <c r="F35" s="26">
        <f>(F34/1820)</f>
        <v>0.36879478332873922</v>
      </c>
      <c r="G35" s="37"/>
      <c r="H35" s="2"/>
      <c r="I35" s="2"/>
      <c r="J35" s="2"/>
      <c r="K35" s="2"/>
      <c r="L35" s="2"/>
      <c r="M35" s="2"/>
      <c r="N35" s="2"/>
      <c r="O35" s="2"/>
      <c r="P35" s="2"/>
    </row>
    <row r="36" spans="1:16" ht="18.75" x14ac:dyDescent="0.3">
      <c r="A36" s="20" t="s">
        <v>30</v>
      </c>
      <c r="B36" s="21" t="s">
        <v>17</v>
      </c>
      <c r="C36" s="37"/>
      <c r="D36" s="37"/>
      <c r="E36" s="37"/>
      <c r="F36" s="37"/>
      <c r="G36" s="37"/>
      <c r="H36" s="2"/>
      <c r="I36" s="2"/>
      <c r="J36" s="2"/>
      <c r="K36" s="2"/>
      <c r="L36" s="2"/>
      <c r="M36" s="2"/>
      <c r="N36" s="2"/>
      <c r="O36" s="2"/>
      <c r="P36" s="2"/>
    </row>
    <row r="37" spans="1:16" s="1" customFormat="1" x14ac:dyDescent="0.25">
      <c r="A37" s="23" t="str">
        <f>A19</f>
        <v>Nombre del forraje</v>
      </c>
      <c r="B37" s="24" t="str">
        <f>B19</f>
        <v>Explotación</v>
      </c>
      <c r="C37" s="29" t="str">
        <f>C3</f>
        <v>Maíz</v>
      </c>
      <c r="D37" s="28" t="str">
        <f t="shared" ref="D37:F37" si="1">D3</f>
        <v>Raigrás italiano</v>
      </c>
      <c r="E37" s="28" t="str">
        <f t="shared" si="1"/>
        <v>Alfalfa</v>
      </c>
      <c r="F37" s="28" t="str">
        <f t="shared" si="1"/>
        <v>Cebada</v>
      </c>
      <c r="G37" s="40"/>
      <c r="H37" s="27"/>
      <c r="I37" s="27"/>
      <c r="J37" s="27"/>
      <c r="K37" s="27"/>
      <c r="L37" s="27"/>
      <c r="M37" s="27"/>
      <c r="N37" s="27"/>
      <c r="O37" s="27"/>
      <c r="P37" s="27"/>
    </row>
    <row r="38" spans="1:16" x14ac:dyDescent="0.25">
      <c r="A38" s="22" t="s">
        <v>39</v>
      </c>
      <c r="B38" s="24" t="s">
        <v>32</v>
      </c>
      <c r="C38" s="42">
        <v>72</v>
      </c>
      <c r="D38" s="43">
        <v>78</v>
      </c>
      <c r="E38" s="43">
        <v>66</v>
      </c>
      <c r="F38" s="43">
        <v>60</v>
      </c>
      <c r="G38" s="37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2" t="s">
        <v>31</v>
      </c>
      <c r="B39" s="24" t="s">
        <v>32</v>
      </c>
      <c r="C39" s="42">
        <v>70</v>
      </c>
      <c r="D39" s="43">
        <v>60</v>
      </c>
      <c r="E39" s="43">
        <v>75</v>
      </c>
      <c r="F39" s="43">
        <v>70</v>
      </c>
      <c r="G39" s="37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3" t="s">
        <v>57</v>
      </c>
      <c r="B40" s="24" t="s">
        <v>15</v>
      </c>
      <c r="C40" s="36">
        <f>C7*(1.11*(1-(C38/100)))*(C39/100)</f>
        <v>17.839920000000003</v>
      </c>
      <c r="D40" s="36">
        <f>D7*(1.11*(1-(D38/100)))*(D39/100)</f>
        <v>29.743559999999999</v>
      </c>
      <c r="E40" s="36">
        <f>E7*(1.11*(1-(E38/100)))*(E39/100)</f>
        <v>49.250700000000009</v>
      </c>
      <c r="F40" s="36">
        <f>F7*(1.11*(1-(F38/100)))*(F39/100)</f>
        <v>11.810400000000001</v>
      </c>
      <c r="G40" s="37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2" t="s">
        <v>58</v>
      </c>
      <c r="B41" s="24" t="s">
        <v>15</v>
      </c>
      <c r="C41" s="11">
        <f>C7*(1-1.11*(1-(C38/100)))*0.9*0.8*0.8</f>
        <v>32.552294400000001</v>
      </c>
      <c r="D41" s="11">
        <f>D7*(1-1.11*(1-(D38/100)))*0.9*0.8*0.8</f>
        <v>88.374182400000024</v>
      </c>
      <c r="E41" s="11">
        <f>E7*(1-1.11*(1-(E38/100)))*0.9*0.8*0.8</f>
        <v>62.399462400000004</v>
      </c>
      <c r="F41" s="11">
        <f>F7*(1-1.11*(1-(F38/100)))*0.9*0.8*0.8</f>
        <v>12.169727999999999</v>
      </c>
      <c r="G41" s="37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3" t="s">
        <v>59</v>
      </c>
      <c r="B42" s="24" t="s">
        <v>15</v>
      </c>
      <c r="C42" s="36">
        <f>C40+C41</f>
        <v>50.3922144</v>
      </c>
      <c r="D42" s="36">
        <f>D40+D41</f>
        <v>118.11774240000003</v>
      </c>
      <c r="E42" s="36">
        <f>E40+E41</f>
        <v>111.65016240000001</v>
      </c>
      <c r="F42" s="36">
        <f>F40+F41</f>
        <v>23.980128000000001</v>
      </c>
      <c r="G42" s="37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2" t="s">
        <v>60</v>
      </c>
      <c r="B43" s="24" t="s">
        <v>33</v>
      </c>
      <c r="C43" s="51">
        <f>125-IF(C6&lt;25,0,IF(C6&gt;40,65,((C6-25)*4.33)))</f>
        <v>81.7</v>
      </c>
      <c r="D43" s="52">
        <v>80</v>
      </c>
      <c r="E43" s="52">
        <v>0</v>
      </c>
      <c r="F43" s="52">
        <v>0</v>
      </c>
      <c r="G43" s="37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2" t="s">
        <v>61</v>
      </c>
      <c r="B44" s="24" t="s">
        <v>15</v>
      </c>
      <c r="C44" s="11">
        <f>(C7*(1-(C38/100)))</f>
        <v>22.96</v>
      </c>
      <c r="D44" s="11">
        <f>(D7*(1-(D38/100)))</f>
        <v>44.66</v>
      </c>
      <c r="E44" s="11">
        <f>(E7*(1-(E38/100)))</f>
        <v>59.16</v>
      </c>
      <c r="F44" s="11">
        <f>(F7*(1-(F38/100)))</f>
        <v>15.200000000000001</v>
      </c>
      <c r="G44" s="37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2" t="s">
        <v>62</v>
      </c>
      <c r="B45" s="24" t="s">
        <v>15</v>
      </c>
      <c r="C45" s="11">
        <f>(C12*C20)/100</f>
        <v>712.63200000000006</v>
      </c>
      <c r="D45" s="11">
        <f>(D12*D20)/100</f>
        <v>629.68192999999997</v>
      </c>
      <c r="E45" s="11">
        <f>(E12*E20)/100</f>
        <v>529.43403999999998</v>
      </c>
      <c r="F45" s="11">
        <f>(F12*F20)/100</f>
        <v>430.14</v>
      </c>
      <c r="G45" s="37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2" t="s">
        <v>63</v>
      </c>
      <c r="B46" s="24" t="s">
        <v>15</v>
      </c>
      <c r="C46" s="11">
        <f>C45-(IF(C14="",C15,C14))-C44-C43</f>
        <v>572.97199999999998</v>
      </c>
      <c r="D46" s="11">
        <f>D45-(IF(D14="",D15,D14))-D44-D43</f>
        <v>469.02193</v>
      </c>
      <c r="E46" s="11">
        <f>E45-(IF(E14="",E15,E14))-E44-E43</f>
        <v>445.27404000000001</v>
      </c>
      <c r="F46" s="11">
        <f>F45-(IF(F14="",F15,F14))-F44-F43</f>
        <v>414.94</v>
      </c>
      <c r="G46" s="37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2" t="s">
        <v>64</v>
      </c>
      <c r="B47" s="24" t="s">
        <v>15</v>
      </c>
      <c r="C47" s="11">
        <f>C46*0.145*0.8*0.8</f>
        <v>53.171801600000009</v>
      </c>
      <c r="D47" s="11">
        <f>D46*0.145*0.8*0.8</f>
        <v>43.525235103999997</v>
      </c>
      <c r="E47" s="11">
        <f>E46*0.145*0.8*0.8</f>
        <v>41.321430912000004</v>
      </c>
      <c r="F47" s="11">
        <f>F46*0.145*0.8*0.8</f>
        <v>38.506431999999997</v>
      </c>
      <c r="G47" s="37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3" t="s">
        <v>65</v>
      </c>
      <c r="B48" s="24" t="s">
        <v>15</v>
      </c>
      <c r="C48" s="36">
        <f>C47+C40</f>
        <v>71.011721600000016</v>
      </c>
      <c r="D48" s="36">
        <f>D47+D40</f>
        <v>73.268795103999992</v>
      </c>
      <c r="E48" s="36">
        <f>E47+E40</f>
        <v>90.572130912000006</v>
      </c>
      <c r="F48" s="36">
        <f>F47+F40</f>
        <v>50.316831999999998</v>
      </c>
      <c r="G48" s="37"/>
      <c r="H48" s="2"/>
      <c r="I48" s="2"/>
      <c r="J48" s="2"/>
      <c r="K48" s="2"/>
      <c r="L48" s="2"/>
      <c r="M48" s="2"/>
      <c r="N48" s="2"/>
      <c r="O48" s="2"/>
      <c r="P48" s="2"/>
    </row>
    <row r="49" spans="1:16" ht="18.75" x14ac:dyDescent="0.3">
      <c r="A49" s="30" t="s">
        <v>34</v>
      </c>
      <c r="B49" s="55" t="s">
        <v>17</v>
      </c>
      <c r="C49" s="37"/>
      <c r="D49" s="37"/>
      <c r="E49" s="37"/>
      <c r="F49" s="37"/>
      <c r="G49" s="37"/>
      <c r="H49" s="2"/>
      <c r="I49" s="2"/>
      <c r="J49" s="2"/>
      <c r="K49" s="2"/>
      <c r="L49" s="2"/>
      <c r="M49" s="2"/>
      <c r="N49" s="2"/>
      <c r="O49" s="2"/>
      <c r="P49" s="2"/>
    </row>
    <row r="50" spans="1:16" s="1" customFormat="1" x14ac:dyDescent="0.25">
      <c r="A50" s="32" t="str">
        <f>A37</f>
        <v>Nombre del forraje</v>
      </c>
      <c r="B50" s="35" t="str">
        <f>B3</f>
        <v>Explotación</v>
      </c>
      <c r="C50" s="33" t="str">
        <f>C3</f>
        <v>Maíz</v>
      </c>
      <c r="D50" s="33" t="str">
        <f t="shared" ref="D50:F50" si="2">D3</f>
        <v>Raigrás italiano</v>
      </c>
      <c r="E50" s="33" t="str">
        <f t="shared" si="2"/>
        <v>Alfalfa</v>
      </c>
      <c r="F50" s="33" t="str">
        <f t="shared" si="2"/>
        <v>Cebada</v>
      </c>
      <c r="G50" s="40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7.25" x14ac:dyDescent="0.25">
      <c r="A51" s="34" t="s">
        <v>66</v>
      </c>
      <c r="B51" s="31" t="s">
        <v>15</v>
      </c>
      <c r="C51" s="44">
        <f>-1701+(48.92*(C20)-(0.34*(C20)^2))</f>
        <v>55.94547707675224</v>
      </c>
      <c r="D51" s="44">
        <f>20.1+(0.306*D20)+(0.078*D7)+0.8-3.7</f>
        <v>55.945138</v>
      </c>
      <c r="E51" s="44">
        <f>11.8+(0.432*E20)+(0.1*E7)+9.4+2.9</f>
        <v>66.716704000000007</v>
      </c>
      <c r="F51" s="44">
        <f>11.8+(0.432*F20)+(0.1*F7)-0.8</f>
        <v>34.99787826086957</v>
      </c>
      <c r="G51" s="37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32" t="s">
        <v>67</v>
      </c>
      <c r="B52" s="31" t="s">
        <v>15</v>
      </c>
      <c r="C52" s="45">
        <f>75/C51</f>
        <v>1.3405909453074578</v>
      </c>
      <c r="D52" s="45">
        <f>75/D51</f>
        <v>1.3405990704679287</v>
      </c>
      <c r="E52" s="45">
        <f>75/E51</f>
        <v>1.1241562532825362</v>
      </c>
      <c r="F52" s="45">
        <f>75/F51</f>
        <v>2.1429870531281892</v>
      </c>
      <c r="G52" s="37"/>
      <c r="H52" s="2"/>
      <c r="I52" s="2"/>
      <c r="J52" s="2"/>
      <c r="K52" s="2"/>
      <c r="L52" s="2"/>
      <c r="M52" s="2"/>
      <c r="N52" s="2"/>
      <c r="O52" s="2"/>
      <c r="P52" s="2"/>
    </row>
    <row r="53" spans="1:16" ht="17.25" x14ac:dyDescent="0.25">
      <c r="A53" s="34" t="s">
        <v>68</v>
      </c>
      <c r="B53" s="31" t="s">
        <v>15</v>
      </c>
      <c r="C53" s="46">
        <f>-76.4+(2.39*C20)+(1.44*C6)</f>
        <v>152.71883315844704</v>
      </c>
      <c r="D53" s="46">
        <f>99.3+(0.167*D20)+(0.128*D7)+1.6</f>
        <v>139.38779099999999</v>
      </c>
      <c r="E53" s="46">
        <f>82.4+(0.491*E20)+(0.114*E7)+2.6+5.5</f>
        <v>138.99665200000001</v>
      </c>
      <c r="F53" s="46">
        <f>82.4+(0.491*F20)+(0.114*F7)-0.9</f>
        <v>108.78838478260869</v>
      </c>
      <c r="G53" s="37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32" t="s">
        <v>69</v>
      </c>
      <c r="B54" s="31" t="s">
        <v>15</v>
      </c>
      <c r="C54" s="45">
        <f>140/C53</f>
        <v>0.916717323624054</v>
      </c>
      <c r="D54" s="45">
        <f>140/D53</f>
        <v>1.0043921278586014</v>
      </c>
      <c r="E54" s="45">
        <f>140/E53</f>
        <v>1.0072185048025473</v>
      </c>
      <c r="F54" s="45">
        <f>140/F53</f>
        <v>1.2869020923489336</v>
      </c>
      <c r="G54" s="37"/>
      <c r="H54" s="2"/>
      <c r="I54" s="2"/>
      <c r="J54" s="2"/>
      <c r="K54" s="2"/>
      <c r="L54" s="2"/>
      <c r="M54" s="2"/>
      <c r="N54" s="2"/>
      <c r="O54" s="2"/>
      <c r="P54" s="2"/>
    </row>
    <row r="55" spans="1:16" ht="17.25" x14ac:dyDescent="0.25">
      <c r="A55" s="34" t="s">
        <v>70</v>
      </c>
      <c r="B55" s="31" t="s">
        <v>15</v>
      </c>
      <c r="C55" s="46">
        <f>-45.49+(1.34*C20)+(1.15*C6)</f>
        <v>94.962190975865695</v>
      </c>
      <c r="D55" s="46">
        <f>47+(0.228*D20)+(0.148*D7)-1.9+1.9</f>
        <v>94.115043999999997</v>
      </c>
      <c r="E55" s="46">
        <f>30.3+(0.559*E20)+(0.132*E7)+3.4+5.2</f>
        <v>94.497948000000022</v>
      </c>
      <c r="F55" s="46">
        <f>30.3+(0.559*F20)+(0.132*F7)-1.4</f>
        <v>60.051680434782611</v>
      </c>
      <c r="G55" s="37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32" t="s">
        <v>71</v>
      </c>
      <c r="B56" s="31" t="s">
        <v>15</v>
      </c>
      <c r="C56" s="45">
        <f>95/C55</f>
        <v>1.000398148186618</v>
      </c>
      <c r="D56" s="45">
        <f>95/D55</f>
        <v>1.0094029175611925</v>
      </c>
      <c r="E56" s="45">
        <f>95/E55</f>
        <v>1.0053128349411351</v>
      </c>
      <c r="F56" s="45">
        <f>95/F55</f>
        <v>1.581970717758215</v>
      </c>
      <c r="G56" s="37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5">
      <c r="A57" s="33" t="s">
        <v>72</v>
      </c>
      <c r="B57" s="31" t="s">
        <v>15</v>
      </c>
      <c r="C57" s="44">
        <f>(C51*65^0.75)/1000</f>
        <v>1.2807076366013079</v>
      </c>
      <c r="D57" s="44">
        <f>(D51*65^0.75)/1000</f>
        <v>1.2806998744334139</v>
      </c>
      <c r="E57" s="44">
        <f>(E51*65^0.75)/1000</f>
        <v>1.527283290201398</v>
      </c>
      <c r="F57" s="44">
        <f>(F51*65^0.75)/1000</f>
        <v>0.80117379090443153</v>
      </c>
      <c r="G57" s="37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5">
      <c r="A58" s="33" t="s">
        <v>73</v>
      </c>
      <c r="B58" s="31" t="s">
        <v>15</v>
      </c>
      <c r="C58" s="44">
        <f>(C53*750^0.75)/1000</f>
        <v>21.887116256264914</v>
      </c>
      <c r="D58" s="44">
        <f>(D53*750^0.75)/1000</f>
        <v>19.976559034835798</v>
      </c>
      <c r="E58" s="44">
        <f>(E53*750^0.75)/1000</f>
        <v>19.9205023940908</v>
      </c>
      <c r="F58" s="44">
        <f>(F53*750^0.75)/1000</f>
        <v>15.591161717414799</v>
      </c>
      <c r="G58" s="37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5">
      <c r="A59" s="33" t="s">
        <v>74</v>
      </c>
      <c r="B59" s="31" t="s">
        <v>15</v>
      </c>
      <c r="C59" s="44">
        <f>(C53*65^0.75)/1000</f>
        <v>3.4960498345654383</v>
      </c>
      <c r="D59" s="44">
        <f>(D53*65^0.75)/1000</f>
        <v>3.1908747178575365</v>
      </c>
      <c r="E59" s="44">
        <f>(E53*65^0.75)/1000</f>
        <v>3.1819207374743619</v>
      </c>
      <c r="F59" s="44">
        <f>(F53*65^0.75)/1000</f>
        <v>2.4903910457938427</v>
      </c>
      <c r="G59" s="37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33" t="s">
        <v>75</v>
      </c>
      <c r="B60" s="31" t="s">
        <v>15</v>
      </c>
      <c r="C60" s="44">
        <f>(C55*400^0.75)/1000</f>
        <v>8.4936765725741115</v>
      </c>
      <c r="D60" s="44">
        <f>(D55*400^0.75)/1000</f>
        <v>8.41790544357535</v>
      </c>
      <c r="E60" s="44">
        <f>(E55*400^0.75)/1000</f>
        <v>8.4521534184896137</v>
      </c>
      <c r="F60" s="44">
        <f>(F55*400^0.75)/1000</f>
        <v>5.3711855846107222</v>
      </c>
      <c r="G60" s="37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5">
      <c r="A61" s="37"/>
      <c r="B61" s="37"/>
      <c r="C61" s="37"/>
      <c r="D61" s="37"/>
      <c r="E61" s="37"/>
      <c r="F61" s="37"/>
      <c r="G61" s="37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</sheetData>
  <sheetProtection password="857E" sheet="1" objects="1" scenarios="1"/>
  <mergeCells count="2">
    <mergeCell ref="A1:F1"/>
    <mergeCell ref="H19:P19"/>
  </mergeCells>
  <pageMargins left="0.7" right="0.7" top="0.75" bottom="0.75" header="0.3" footer="0.3"/>
  <pageSetup paperSize="9" orientation="portrait" r:id="rId1"/>
  <ignoredErrors>
    <ignoredError sqref="C58:F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12</vt:i4>
      </vt:variant>
    </vt:vector>
  </HeadingPairs>
  <TitlesOfParts>
    <vt:vector size="13" baseType="lpstr">
      <vt:lpstr>Valoració nutritiva</vt:lpstr>
      <vt:lpstr>UFL</vt:lpstr>
      <vt:lpstr>UFV</vt:lpstr>
      <vt:lpstr>PDIA</vt:lpstr>
      <vt:lpstr>PDIN</vt:lpstr>
      <vt:lpstr>PDIE</vt:lpstr>
      <vt:lpstr>UEM</vt:lpstr>
      <vt:lpstr>UEL</vt:lpstr>
      <vt:lpstr>UEB</vt:lpstr>
      <vt:lpstr>INGoví</vt:lpstr>
      <vt:lpstr>INGvaca</vt:lpstr>
      <vt:lpstr>INGcabra</vt:lpstr>
      <vt:lpstr>INGbovins</vt:lpstr>
    </vt:vector>
  </TitlesOfParts>
  <Company>Gestrum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Maynegre Santaulària</dc:creator>
  <cp:lastModifiedBy>Antoni Segui</cp:lastModifiedBy>
  <dcterms:created xsi:type="dcterms:W3CDTF">2013-09-17T19:25:24Z</dcterms:created>
  <dcterms:modified xsi:type="dcterms:W3CDTF">2013-09-19T16:36:50Z</dcterms:modified>
</cp:coreProperties>
</file>