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8515" windowHeight="12585" activeTab="1"/>
  </bookViews>
  <sheets>
    <sheet name="Valoració unifeed" sheetId="1" r:id="rId1"/>
    <sheet name="Exemple unifeed" sheetId="2" r:id="rId2"/>
  </sheets>
  <calcPr calcId="144525"/>
</workbook>
</file>

<file path=xl/calcChain.xml><?xml version="1.0" encoding="utf-8"?>
<calcChain xmlns="http://schemas.openxmlformats.org/spreadsheetml/2006/main">
  <c r="H24" i="2" l="1"/>
  <c r="I24" i="2" s="1"/>
  <c r="H23" i="2"/>
  <c r="H22" i="2"/>
  <c r="H21" i="2"/>
  <c r="H20" i="2"/>
  <c r="I20" i="2" s="1"/>
  <c r="H19" i="2"/>
  <c r="H18" i="2"/>
  <c r="H17" i="2"/>
  <c r="H16" i="2"/>
  <c r="I16" i="2" s="1"/>
  <c r="H15" i="2"/>
  <c r="I15" i="2" s="1"/>
  <c r="H14" i="2"/>
  <c r="H13" i="2"/>
  <c r="H25" i="2" s="1"/>
  <c r="M12" i="2"/>
  <c r="H11" i="2"/>
  <c r="M10" i="2"/>
  <c r="H10" i="2"/>
  <c r="H9" i="2"/>
  <c r="M8" i="2"/>
  <c r="H8" i="2"/>
  <c r="C23" i="1"/>
  <c r="M20" i="1"/>
  <c r="E20" i="1"/>
  <c r="E19" i="1"/>
  <c r="C19" i="1"/>
  <c r="E18" i="1"/>
  <c r="C18" i="1"/>
  <c r="M17" i="1"/>
  <c r="E17" i="1"/>
  <c r="C17" i="1"/>
  <c r="C20" i="1" s="1"/>
  <c r="M16" i="1"/>
  <c r="E16" i="1"/>
  <c r="M15" i="1"/>
  <c r="E15" i="1"/>
  <c r="M14" i="1"/>
  <c r="E14" i="1"/>
  <c r="C14" i="1"/>
  <c r="E13" i="1"/>
  <c r="F12" i="1"/>
  <c r="E29" i="1" s="1"/>
  <c r="F11" i="1"/>
  <c r="E28" i="1" s="1"/>
  <c r="F10" i="1"/>
  <c r="E27" i="1" s="1"/>
  <c r="F9" i="1"/>
  <c r="E26" i="1" s="1"/>
  <c r="F8" i="1"/>
  <c r="E25" i="1" s="1"/>
  <c r="F7" i="1"/>
  <c r="F6" i="1"/>
  <c r="E24" i="1" s="1"/>
  <c r="M5" i="1"/>
  <c r="F5" i="1"/>
  <c r="E23" i="1" s="1"/>
  <c r="F4" i="1"/>
  <c r="C13" i="1" s="1"/>
  <c r="C15" i="1" s="1"/>
  <c r="M2" i="1"/>
  <c r="I11" i="2" l="1"/>
  <c r="I9" i="2"/>
  <c r="M9" i="2" s="1"/>
  <c r="I23" i="2"/>
  <c r="I21" i="2"/>
  <c r="I19" i="2"/>
  <c r="I17" i="2"/>
  <c r="I14" i="2"/>
  <c r="M14" i="2" s="1"/>
  <c r="I8" i="2"/>
  <c r="M7" i="2" s="1"/>
  <c r="I18" i="2"/>
  <c r="M15" i="2" s="1"/>
  <c r="I22" i="2"/>
  <c r="H12" i="2"/>
  <c r="I13" i="2"/>
  <c r="M13" i="2" s="1"/>
  <c r="E21" i="1"/>
  <c r="M13" i="1"/>
  <c r="C16" i="1"/>
  <c r="M12" i="1" s="1"/>
  <c r="E22" i="1"/>
  <c r="M6" i="1" s="1"/>
  <c r="C22" i="1"/>
  <c r="F13" i="1"/>
  <c r="C21" i="1"/>
  <c r="C25" i="1" l="1"/>
  <c r="C24" i="1"/>
  <c r="C26" i="1" s="1"/>
  <c r="C27" i="1" s="1"/>
  <c r="H26" i="2"/>
  <c r="J25" i="2" s="1"/>
  <c r="I10" i="2"/>
  <c r="M11" i="2" s="1"/>
  <c r="C37" i="1"/>
  <c r="C33" i="1"/>
  <c r="C36" i="1"/>
  <c r="C32" i="1"/>
  <c r="C38" i="1"/>
  <c r="C34" i="1"/>
  <c r="C35" i="1"/>
  <c r="C31" i="1"/>
  <c r="M8" i="1"/>
  <c r="C28" i="1" l="1"/>
  <c r="C29" i="1" s="1"/>
  <c r="C30" i="1" s="1"/>
  <c r="M3" i="1" s="1"/>
  <c r="M7" i="1"/>
  <c r="J12" i="2"/>
</calcChain>
</file>

<file path=xl/comments1.xml><?xml version="1.0" encoding="utf-8"?>
<comments xmlns="http://schemas.openxmlformats.org/spreadsheetml/2006/main">
  <authors>
    <author>Antoni Seguí</author>
  </authors>
  <commentList>
    <comment ref="B25" authorId="0">
      <text>
        <r>
          <rPr>
            <b/>
            <sz val="8"/>
            <color indexed="81"/>
            <rFont val="Tahoma"/>
            <family val="2"/>
          </rPr>
          <t>Antoni Seguí:</t>
        </r>
        <r>
          <rPr>
            <sz val="8"/>
            <color indexed="81"/>
            <rFont val="Tahoma"/>
            <family val="2"/>
          </rPr>
          <t xml:space="preserve">
apliquem </t>
        </r>
      </text>
    </comment>
  </commentList>
</comments>
</file>

<file path=xl/sharedStrings.xml><?xml version="1.0" encoding="utf-8"?>
<sst xmlns="http://schemas.openxmlformats.org/spreadsheetml/2006/main" count="176" uniqueCount="150">
  <si>
    <t>Dades anàlisi química</t>
  </si>
  <si>
    <t>Composició MS de l'unifeed</t>
  </si>
  <si>
    <t>% sobre MS Fa o Co</t>
  </si>
  <si>
    <t>% sobre MS total</t>
  </si>
  <si>
    <t>Valoració</t>
  </si>
  <si>
    <t>MS %</t>
  </si>
  <si>
    <t>% MS</t>
  </si>
  <si>
    <t>UFL</t>
  </si>
  <si>
    <t xml:space="preserve">%MS </t>
  </si>
  <si>
    <r>
      <t xml:space="preserve">% MS EBM </t>
    </r>
    <r>
      <rPr>
        <i/>
        <sz val="12"/>
        <color indexed="9"/>
        <rFont val="Calibri"/>
        <family val="2"/>
      </rPr>
      <t>s</t>
    </r>
    <r>
      <rPr>
        <sz val="12"/>
        <color indexed="9"/>
        <rFont val="Calibri"/>
        <family val="2"/>
      </rPr>
      <t xml:space="preserve"> MS farratgera</t>
    </r>
  </si>
  <si>
    <t>% MS Farratges</t>
  </si>
  <si>
    <t>UFV</t>
  </si>
  <si>
    <t>PB, % s MS</t>
  </si>
  <si>
    <r>
      <t xml:space="preserve">% MS E lleguminoses </t>
    </r>
    <r>
      <rPr>
        <i/>
        <sz val="12"/>
        <color indexed="9"/>
        <rFont val="Calibri"/>
        <family val="2"/>
      </rPr>
      <t>s</t>
    </r>
    <r>
      <rPr>
        <sz val="12"/>
        <color indexed="9"/>
        <rFont val="Calibri"/>
        <family val="2"/>
      </rPr>
      <t xml:space="preserve"> MS farratgera</t>
    </r>
  </si>
  <si>
    <t>%MS Concentrats</t>
  </si>
  <si>
    <t>MNT_PB</t>
  </si>
  <si>
    <t>EE, % s MS</t>
  </si>
  <si>
    <r>
      <t xml:space="preserve">% MS E graminies </t>
    </r>
    <r>
      <rPr>
        <i/>
        <sz val="12"/>
        <color indexed="9"/>
        <rFont val="Calibri"/>
        <family val="2"/>
      </rPr>
      <t>s</t>
    </r>
    <r>
      <rPr>
        <sz val="12"/>
        <color indexed="9"/>
        <rFont val="Calibri"/>
        <family val="2"/>
      </rPr>
      <t xml:space="preserve"> MS farratgera</t>
    </r>
  </si>
  <si>
    <t>DT ebm, cereals</t>
  </si>
  <si>
    <t>PDIA</t>
  </si>
  <si>
    <t>FB, % s MS</t>
  </si>
  <si>
    <r>
      <t>% MS E cereals</t>
    </r>
    <r>
      <rPr>
        <i/>
        <sz val="12"/>
        <color indexed="9"/>
        <rFont val="Calibri"/>
        <family val="2"/>
      </rPr>
      <t xml:space="preserve"> s</t>
    </r>
    <r>
      <rPr>
        <sz val="12"/>
        <color indexed="9"/>
        <rFont val="Calibri"/>
        <family val="2"/>
      </rPr>
      <t xml:space="preserve"> MS farratgera</t>
    </r>
  </si>
  <si>
    <t>DT E lleguminoses</t>
  </si>
  <si>
    <t>PDIN</t>
  </si>
  <si>
    <t>Cendres, % s MS</t>
  </si>
  <si>
    <r>
      <t xml:space="preserve">% MS secs </t>
    </r>
    <r>
      <rPr>
        <i/>
        <sz val="12"/>
        <color indexed="9"/>
        <rFont val="Calibri"/>
        <family val="2"/>
      </rPr>
      <t>s</t>
    </r>
    <r>
      <rPr>
        <sz val="12"/>
        <color indexed="9"/>
        <rFont val="Calibri"/>
        <family val="2"/>
      </rPr>
      <t xml:space="preserve"> MS farratgera</t>
    </r>
  </si>
  <si>
    <t>DT E graminies</t>
  </si>
  <si>
    <t>PDIE</t>
  </si>
  <si>
    <t>dNDF *</t>
  </si>
  <si>
    <r>
      <t xml:space="preserve">% MS cereals i derivats (no bagàs) </t>
    </r>
    <r>
      <rPr>
        <i/>
        <sz val="12"/>
        <color indexed="9"/>
        <rFont val="Calibri"/>
        <family val="2"/>
      </rPr>
      <t>s</t>
    </r>
    <r>
      <rPr>
        <sz val="12"/>
        <color indexed="9"/>
        <rFont val="Calibri"/>
        <family val="2"/>
      </rPr>
      <t xml:space="preserve"> MS concentrats</t>
    </r>
  </si>
  <si>
    <t>DT secs</t>
  </si>
  <si>
    <t>UE</t>
  </si>
  <si>
    <t>NDF, % s MS *</t>
  </si>
  <si>
    <r>
      <t xml:space="preserve">% MS llegum i der i bagàs </t>
    </r>
    <r>
      <rPr>
        <i/>
        <sz val="12"/>
        <color indexed="9"/>
        <rFont val="Calibri"/>
        <family val="2"/>
      </rPr>
      <t>s</t>
    </r>
    <r>
      <rPr>
        <sz val="12"/>
        <color indexed="9"/>
        <rFont val="Calibri"/>
        <family val="2"/>
      </rPr>
      <t xml:space="preserve"> MS concentrats</t>
    </r>
  </si>
  <si>
    <t>DT cereals</t>
  </si>
  <si>
    <t>UEB</t>
  </si>
  <si>
    <t>ADF, % s MS *</t>
  </si>
  <si>
    <r>
      <t xml:space="preserve">% MS bm i derivats </t>
    </r>
    <r>
      <rPr>
        <i/>
        <sz val="12"/>
        <color indexed="9"/>
        <rFont val="Calibri"/>
        <family val="2"/>
      </rPr>
      <t>s</t>
    </r>
    <r>
      <rPr>
        <sz val="12"/>
        <color indexed="9"/>
        <rFont val="Calibri"/>
        <family val="2"/>
      </rPr>
      <t xml:space="preserve"> MS concentrats</t>
    </r>
  </si>
  <si>
    <t>DT llegums</t>
  </si>
  <si>
    <t>UEM</t>
  </si>
  <si>
    <t>dCs **</t>
  </si>
  <si>
    <r>
      <t xml:space="preserve">% MS altres </t>
    </r>
    <r>
      <rPr>
        <i/>
        <sz val="12"/>
        <color indexed="9"/>
        <rFont val="Calibri"/>
        <family val="2"/>
      </rPr>
      <t>s</t>
    </r>
    <r>
      <rPr>
        <sz val="12"/>
        <color indexed="9"/>
        <rFont val="Calibri"/>
        <family val="2"/>
      </rPr>
      <t xml:space="preserve"> MS concentrats</t>
    </r>
  </si>
  <si>
    <t>DT bm</t>
  </si>
  <si>
    <t>dMO</t>
  </si>
  <si>
    <t>dProteïnes</t>
  </si>
  <si>
    <t>MN no degradables, greix i PF ensitjats (ebm, cereals)</t>
  </si>
  <si>
    <t>DT altres</t>
  </si>
  <si>
    <t>MOD_TDN</t>
  </si>
  <si>
    <t>MO, g/kg MS</t>
  </si>
  <si>
    <t>MN no degradables, greix i PF ensitjats lleguminoses</t>
  </si>
  <si>
    <t>PF ebm, cereals</t>
  </si>
  <si>
    <t>EE</t>
  </si>
  <si>
    <t>MOD, g/kg MS</t>
  </si>
  <si>
    <t>MN no degradables, greix i PF ensitjats gramínies</t>
  </si>
  <si>
    <t>PF E lleguminoses</t>
  </si>
  <si>
    <t>FB</t>
  </si>
  <si>
    <t>MN no degradables i greix dels secs</t>
  </si>
  <si>
    <t>PF E graminies</t>
  </si>
  <si>
    <t>NDF</t>
  </si>
  <si>
    <t>MNTo, g/kg MO</t>
  </si>
  <si>
    <t>MN no degradables i greix dels cereals</t>
  </si>
  <si>
    <t>dr ebm, cereals</t>
  </si>
  <si>
    <t>ADF</t>
  </si>
  <si>
    <t>FBo, g/kg MO</t>
  </si>
  <si>
    <t>MN no degradables i greix de lleguminoses</t>
  </si>
  <si>
    <t>dr E lleguminoses</t>
  </si>
  <si>
    <t>Cel·lulosa</t>
  </si>
  <si>
    <t>EEo, g/kg MO</t>
  </si>
  <si>
    <t>MN no degradables i greix del bm</t>
  </si>
  <si>
    <t>dr E graminies</t>
  </si>
  <si>
    <t>Lignina</t>
  </si>
  <si>
    <t>EB ebm</t>
  </si>
  <si>
    <t>MN no degradables i greix d'altres</t>
  </si>
  <si>
    <t>dr secs</t>
  </si>
  <si>
    <t>cendres</t>
  </si>
  <si>
    <t>EB E altres</t>
  </si>
  <si>
    <t>MOF unifeed</t>
  </si>
  <si>
    <t>dr cereals</t>
  </si>
  <si>
    <t>Ca</t>
  </si>
  <si>
    <t>EB secs</t>
  </si>
  <si>
    <t>PDIA ebm, cereals</t>
  </si>
  <si>
    <t>dr llegums</t>
  </si>
  <si>
    <t>P</t>
  </si>
  <si>
    <t>EB concentrats</t>
  </si>
  <si>
    <t>PDIA E lleguminoses</t>
  </si>
  <si>
    <t>dr bm</t>
  </si>
  <si>
    <t>Mg</t>
  </si>
  <si>
    <t>EB</t>
  </si>
  <si>
    <t>PDIA E graminies</t>
  </si>
  <si>
    <t>dr altres</t>
  </si>
  <si>
    <t>Cl</t>
  </si>
  <si>
    <t>dE</t>
  </si>
  <si>
    <t>PDIA secs</t>
  </si>
  <si>
    <t>K</t>
  </si>
  <si>
    <t>ED</t>
  </si>
  <si>
    <t>PDIA cereals</t>
  </si>
  <si>
    <t>Na</t>
  </si>
  <si>
    <t>EMco</t>
  </si>
  <si>
    <t>PDIA llegums</t>
  </si>
  <si>
    <t>S</t>
  </si>
  <si>
    <t>EMfa</t>
  </si>
  <si>
    <t>PDIA bm</t>
  </si>
  <si>
    <t>Co</t>
  </si>
  <si>
    <t>EMunifeed</t>
  </si>
  <si>
    <t>PDIA altres</t>
  </si>
  <si>
    <t>Cu</t>
  </si>
  <si>
    <t>EN</t>
  </si>
  <si>
    <t>Mo</t>
  </si>
  <si>
    <t>PDIN ebm, cereals</t>
  </si>
  <si>
    <t>Iode</t>
  </si>
  <si>
    <t>PDIN E lleguminoses</t>
  </si>
  <si>
    <t>Fe</t>
  </si>
  <si>
    <t>PDIN E graminies</t>
  </si>
  <si>
    <t>Mn</t>
  </si>
  <si>
    <t>PDIN secs</t>
  </si>
  <si>
    <t>Se</t>
  </si>
  <si>
    <t>PDIN cereals</t>
  </si>
  <si>
    <t>Zn</t>
  </si>
  <si>
    <t>PDIN llegums</t>
  </si>
  <si>
    <t>Vit A</t>
  </si>
  <si>
    <t>PDIN bm</t>
  </si>
  <si>
    <t>Vit D</t>
  </si>
  <si>
    <t>PDIN altres</t>
  </si>
  <si>
    <t>Vit E</t>
  </si>
  <si>
    <t>Ració unifeed</t>
  </si>
  <si>
    <t>kg fresc</t>
  </si>
  <si>
    <t>kg MS</t>
  </si>
  <si>
    <t>% MS s/ Fa i s/ no Fa</t>
  </si>
  <si>
    <t>Blat de moro, ensitjat</t>
  </si>
  <si>
    <t>Raigràs italià, ensitjat</t>
  </si>
  <si>
    <t>Alfals, deshidratat</t>
  </si>
  <si>
    <t>Palla, cereals</t>
  </si>
  <si>
    <t>Ordi, bagàs de cerveseria fresc</t>
  </si>
  <si>
    <t>Kg MS farratges</t>
  </si>
  <si>
    <t>% MS farratges</t>
  </si>
  <si>
    <t>Blat de moro, gra</t>
  </si>
  <si>
    <t>Colza, turtó</t>
  </si>
  <si>
    <t xml:space="preserve">Soja, clovella </t>
  </si>
  <si>
    <t>Soja, turtó 44%</t>
  </si>
  <si>
    <t>Mealpass</t>
  </si>
  <si>
    <t>Bicarbonat sòdic</t>
  </si>
  <si>
    <t>Greix by-pass</t>
  </si>
  <si>
    <t>Òxid magnesi</t>
  </si>
  <si>
    <t>Carbonat càlcic</t>
  </si>
  <si>
    <t>Clorur sòdic (sal)</t>
  </si>
  <si>
    <t>Microcorrector ViM</t>
  </si>
  <si>
    <t>kg MS no farratges</t>
  </si>
  <si>
    <t>% MS no farratges</t>
  </si>
  <si>
    <t>kg MS total</t>
  </si>
  <si>
    <t>Autor: Antoni Seguí Parpal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</si>
</sst>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23" x14ac:knownFonts="1">
    <font>
      <sz val="11"/>
      <color theme="1"/>
      <name val="Calibri"/>
      <family val="2"/>
      <scheme val="minor"/>
    </font>
    <font>
      <b/>
      <sz val="11"/>
      <color theme="0"/>
      <name val="Calibri"/>
      <family val="2"/>
      <scheme val="minor"/>
    </font>
    <font>
      <sz val="11"/>
      <color theme="0"/>
      <name val="Calibri"/>
      <family val="2"/>
      <scheme val="minor"/>
    </font>
    <font>
      <u/>
      <sz val="12"/>
      <color indexed="9"/>
      <name val="Calibri"/>
      <family val="2"/>
    </font>
    <font>
      <sz val="12"/>
      <color indexed="9"/>
      <name val="Calibri"/>
      <family val="2"/>
    </font>
    <font>
      <b/>
      <sz val="9"/>
      <color theme="0"/>
      <name val="Calibri"/>
      <family val="2"/>
    </font>
    <font>
      <b/>
      <sz val="11"/>
      <color theme="0"/>
      <name val="Calibri"/>
      <family val="2"/>
    </font>
    <font>
      <sz val="12"/>
      <name val="Calibri"/>
      <family val="2"/>
    </font>
    <font>
      <sz val="12"/>
      <color theme="0"/>
      <name val="Calibri"/>
      <family val="2"/>
    </font>
    <font>
      <b/>
      <sz val="12"/>
      <name val="Calibri"/>
      <family val="2"/>
    </font>
    <font>
      <sz val="11"/>
      <color theme="0"/>
      <name val="Calibri"/>
      <family val="2"/>
    </font>
    <font>
      <i/>
      <sz val="12"/>
      <color indexed="9"/>
      <name val="Calibri"/>
      <family val="2"/>
    </font>
    <font>
      <i/>
      <sz val="12"/>
      <name val="Calibri"/>
      <family val="2"/>
    </font>
    <font>
      <i/>
      <sz val="12"/>
      <color rgb="FFFFFF00"/>
      <name val="Calibri"/>
      <family val="2"/>
    </font>
    <font>
      <sz val="12"/>
      <color theme="2" tint="-0.249977111117893"/>
      <name val="Calibri"/>
      <family val="2"/>
    </font>
    <font>
      <b/>
      <i/>
      <sz val="12"/>
      <name val="Calibri"/>
      <family val="2"/>
    </font>
    <font>
      <sz val="12"/>
      <name val="Arial"/>
      <family val="2"/>
    </font>
    <font>
      <b/>
      <sz val="12"/>
      <color indexed="13"/>
      <name val="Calibri"/>
      <family val="2"/>
    </font>
    <font>
      <b/>
      <sz val="8"/>
      <color indexed="81"/>
      <name val="Tahoma"/>
      <family val="2"/>
    </font>
    <font>
      <sz val="8"/>
      <color indexed="81"/>
      <name val="Tahoma"/>
      <family val="2"/>
    </font>
    <font>
      <sz val="11"/>
      <name val="Calibri"/>
      <family val="2"/>
      <scheme val="minor"/>
    </font>
    <font>
      <b/>
      <sz val="11"/>
      <name val="Calibri"/>
      <family val="2"/>
      <scheme val="minor"/>
    </font>
    <font>
      <b/>
      <sz val="11"/>
      <color rgb="FFFA7D00"/>
      <name val="Calibri"/>
      <family val="2"/>
      <scheme val="minor"/>
    </font>
  </fonts>
  <fills count="20">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indexed="41"/>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58"/>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indexed="16"/>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2F2F2"/>
      </patternFill>
    </fill>
    <fill>
      <patternFill patternType="solid">
        <fgColor theme="2"/>
        <bgColor indexed="64"/>
      </patternFill>
    </fill>
    <fill>
      <patternFill patternType="solid">
        <fgColor theme="3" tint="0.59996337778862885"/>
        <bgColor indexed="64"/>
      </patternFill>
    </fill>
  </fills>
  <borders count="22">
    <border>
      <left/>
      <right/>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indexed="64"/>
      </top>
      <bottom/>
      <diagonal/>
    </border>
    <border>
      <left/>
      <right/>
      <top/>
      <bottom style="thin">
        <color theme="0"/>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indexed="9"/>
      </bottom>
      <diagonal/>
    </border>
    <border>
      <left style="thin">
        <color theme="0"/>
      </left>
      <right style="thin">
        <color theme="0"/>
      </right>
      <top/>
      <bottom style="thin">
        <color indexed="64"/>
      </bottom>
      <diagonal/>
    </border>
    <border>
      <left/>
      <right/>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top style="thin">
        <color indexed="9"/>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2" fillId="19" borderId="21" applyNumberFormat="0" applyAlignment="0" applyProtection="0"/>
    <xf numFmtId="0" fontId="22" fillId="17" borderId="21" applyNumberFormat="0" applyAlignment="0" applyProtection="0"/>
  </cellStyleXfs>
  <cellXfs count="95">
    <xf numFmtId="0" fontId="0" fillId="0" borderId="0" xfId="0"/>
    <xf numFmtId="4" fontId="7" fillId="0" borderId="0" xfId="0" applyNumberFormat="1" applyFont="1"/>
    <xf numFmtId="4" fontId="7" fillId="3" borderId="0" xfId="0" applyNumberFormat="1" applyFont="1" applyFill="1" applyBorder="1"/>
    <xf numFmtId="0" fontId="0" fillId="3" borderId="0" xfId="0" applyFill="1" applyBorder="1"/>
    <xf numFmtId="0" fontId="0" fillId="0" borderId="0" xfId="0" applyBorder="1"/>
    <xf numFmtId="0" fontId="9" fillId="4" borderId="8" xfId="0" applyFont="1" applyFill="1" applyBorder="1" applyAlignment="1" applyProtection="1">
      <alignment horizontal="center"/>
    </xf>
    <xf numFmtId="0" fontId="9" fillId="4" borderId="9" xfId="0" applyFont="1" applyFill="1" applyBorder="1" applyAlignment="1" applyProtection="1">
      <alignment horizontal="center"/>
    </xf>
    <xf numFmtId="0" fontId="9" fillId="3" borderId="0" xfId="0" applyFont="1" applyFill="1" applyBorder="1" applyAlignment="1" applyProtection="1">
      <alignment horizontal="center"/>
    </xf>
    <xf numFmtId="0" fontId="10" fillId="2" borderId="1" xfId="0" applyFont="1" applyFill="1" applyBorder="1" applyAlignment="1">
      <alignment horizontal="left"/>
    </xf>
    <xf numFmtId="4" fontId="10" fillId="2" borderId="1" xfId="0" applyNumberFormat="1" applyFont="1" applyFill="1" applyBorder="1" applyAlignment="1">
      <alignment horizontal="right"/>
    </xf>
    <xf numFmtId="2" fontId="9" fillId="3" borderId="0" xfId="0" applyNumberFormat="1" applyFont="1" applyFill="1" applyBorder="1" applyAlignment="1" applyProtection="1">
      <alignment horizontal="center"/>
    </xf>
    <xf numFmtId="4" fontId="4" fillId="2" borderId="14" xfId="0" applyNumberFormat="1" applyFont="1" applyFill="1" applyBorder="1"/>
    <xf numFmtId="4" fontId="4" fillId="5" borderId="15" xfId="0" applyNumberFormat="1" applyFont="1" applyFill="1" applyBorder="1"/>
    <xf numFmtId="4" fontId="4" fillId="5" borderId="16" xfId="0" applyNumberFormat="1" applyFont="1" applyFill="1" applyBorder="1"/>
    <xf numFmtId="0" fontId="10" fillId="2" borderId="1" xfId="0" applyFont="1" applyFill="1" applyBorder="1" applyAlignment="1">
      <alignment horizontal="right"/>
    </xf>
    <xf numFmtId="4" fontId="4" fillId="7" borderId="17" xfId="0" applyNumberFormat="1" applyFont="1" applyFill="1" applyBorder="1"/>
    <xf numFmtId="4" fontId="4" fillId="2" borderId="16" xfId="0" applyNumberFormat="1" applyFont="1" applyFill="1" applyBorder="1"/>
    <xf numFmtId="4" fontId="12" fillId="8" borderId="18" xfId="0" applyNumberFormat="1" applyFont="1" applyFill="1" applyBorder="1"/>
    <xf numFmtId="4" fontId="12" fillId="8" borderId="8" xfId="0" applyNumberFormat="1" applyFont="1" applyFill="1" applyBorder="1"/>
    <xf numFmtId="4" fontId="13" fillId="2" borderId="16" xfId="0" applyNumberFormat="1" applyFont="1" applyFill="1" applyBorder="1"/>
    <xf numFmtId="4" fontId="4" fillId="7" borderId="16" xfId="0" applyNumberFormat="1" applyFont="1" applyFill="1" applyBorder="1"/>
    <xf numFmtId="4" fontId="13" fillId="2" borderId="17" xfId="0" applyNumberFormat="1" applyFont="1" applyFill="1" applyBorder="1"/>
    <xf numFmtId="4" fontId="12" fillId="6" borderId="8" xfId="0" applyNumberFormat="1" applyFont="1" applyFill="1" applyBorder="1"/>
    <xf numFmtId="4" fontId="7" fillId="6" borderId="8" xfId="0" applyNumberFormat="1" applyFont="1" applyFill="1" applyBorder="1"/>
    <xf numFmtId="4" fontId="12" fillId="6" borderId="8" xfId="0" applyNumberFormat="1" applyFont="1" applyFill="1" applyBorder="1" applyAlignment="1">
      <alignment horizontal="left"/>
    </xf>
    <xf numFmtId="4" fontId="15" fillId="6" borderId="8" xfId="0" applyNumberFormat="1" applyFont="1" applyFill="1" applyBorder="1" applyAlignment="1">
      <alignment horizontal="left"/>
    </xf>
    <xf numFmtId="4" fontId="7" fillId="6" borderId="8" xfId="0" applyNumberFormat="1" applyFont="1" applyFill="1" applyBorder="1" applyAlignment="1">
      <alignment horizontal="left"/>
    </xf>
    <xf numFmtId="4" fontId="16" fillId="3" borderId="0" xfId="0" applyNumberFormat="1" applyFont="1" applyFill="1" applyBorder="1"/>
    <xf numFmtId="4" fontId="16" fillId="0" borderId="0" xfId="0" applyNumberFormat="1" applyFont="1"/>
    <xf numFmtId="0" fontId="16" fillId="9" borderId="0" xfId="0" applyFont="1" applyFill="1"/>
    <xf numFmtId="0" fontId="16" fillId="0" borderId="0" xfId="0" applyFont="1"/>
    <xf numFmtId="0" fontId="16" fillId="3" borderId="0" xfId="0" applyFont="1" applyFill="1" applyBorder="1"/>
    <xf numFmtId="4" fontId="7" fillId="9" borderId="0" xfId="0" applyNumberFormat="1" applyFont="1" applyFill="1"/>
    <xf numFmtId="4" fontId="7" fillId="6" borderId="20" xfId="0" applyNumberFormat="1" applyFont="1" applyFill="1" applyBorder="1"/>
    <xf numFmtId="4" fontId="17" fillId="3" borderId="0" xfId="0" applyNumberFormat="1" applyFont="1" applyFill="1" applyBorder="1" applyAlignment="1">
      <alignment horizontal="center"/>
    </xf>
    <xf numFmtId="4" fontId="7" fillId="3" borderId="0" xfId="0" applyNumberFormat="1" applyFont="1" applyFill="1"/>
    <xf numFmtId="0" fontId="16" fillId="3" borderId="0" xfId="0" applyFont="1" applyFill="1"/>
    <xf numFmtId="0" fontId="20" fillId="3" borderId="0" xfId="0" applyFont="1" applyFill="1"/>
    <xf numFmtId="0" fontId="20" fillId="0" borderId="0" xfId="0" applyFont="1"/>
    <xf numFmtId="4" fontId="4" fillId="10" borderId="15" xfId="0" applyNumberFormat="1" applyFont="1" applyFill="1" applyBorder="1"/>
    <xf numFmtId="10" fontId="20" fillId="11" borderId="8" xfId="0" applyNumberFormat="1" applyFont="1" applyFill="1" applyBorder="1"/>
    <xf numFmtId="0" fontId="20" fillId="12" borderId="8" xfId="0" applyFont="1" applyFill="1" applyBorder="1"/>
    <xf numFmtId="165" fontId="20" fillId="12" borderId="8" xfId="0" applyNumberFormat="1" applyFont="1" applyFill="1" applyBorder="1"/>
    <xf numFmtId="0" fontId="20" fillId="6" borderId="8" xfId="0" applyFont="1" applyFill="1" applyBorder="1"/>
    <xf numFmtId="165" fontId="20" fillId="6" borderId="8" xfId="0" applyNumberFormat="1" applyFont="1" applyFill="1" applyBorder="1"/>
    <xf numFmtId="10" fontId="20" fillId="0" borderId="8" xfId="0" applyNumberFormat="1" applyFont="1" applyBorder="1"/>
    <xf numFmtId="2" fontId="20" fillId="13" borderId="8" xfId="0" applyNumberFormat="1" applyFont="1" applyFill="1" applyBorder="1"/>
    <xf numFmtId="10" fontId="20" fillId="13" borderId="8" xfId="0" applyNumberFormat="1" applyFont="1" applyFill="1" applyBorder="1"/>
    <xf numFmtId="4" fontId="4" fillId="10" borderId="16" xfId="0" applyNumberFormat="1" applyFont="1" applyFill="1" applyBorder="1"/>
    <xf numFmtId="2" fontId="1" fillId="2" borderId="0" xfId="0" applyNumberFormat="1" applyFont="1" applyFill="1"/>
    <xf numFmtId="10" fontId="2" fillId="2" borderId="0" xfId="0" applyNumberFormat="1" applyFont="1" applyFill="1"/>
    <xf numFmtId="4" fontId="4" fillId="14" borderId="16" xfId="0" applyNumberFormat="1" applyFont="1" applyFill="1" applyBorder="1"/>
    <xf numFmtId="0" fontId="20" fillId="15" borderId="8" xfId="0" applyFont="1" applyFill="1" applyBorder="1"/>
    <xf numFmtId="165" fontId="20" fillId="15" borderId="8" xfId="0" applyNumberFormat="1" applyFont="1" applyFill="1" applyBorder="1"/>
    <xf numFmtId="2" fontId="20" fillId="16" borderId="8" xfId="0" applyNumberFormat="1" applyFont="1" applyFill="1" applyBorder="1"/>
    <xf numFmtId="10" fontId="20" fillId="16" borderId="8" xfId="0" applyNumberFormat="1" applyFont="1" applyFill="1" applyBorder="1"/>
    <xf numFmtId="2" fontId="2" fillId="7" borderId="0" xfId="0" applyNumberFormat="1" applyFont="1" applyFill="1"/>
    <xf numFmtId="10" fontId="2" fillId="7" borderId="0" xfId="0" applyNumberFormat="1" applyFont="1" applyFill="1"/>
    <xf numFmtId="2" fontId="21" fillId="12" borderId="0" xfId="0" applyNumberFormat="1" applyFont="1" applyFill="1"/>
    <xf numFmtId="0" fontId="0" fillId="3" borderId="0" xfId="0" applyFill="1"/>
    <xf numFmtId="4" fontId="7" fillId="2" borderId="0" xfId="0" applyNumberFormat="1" applyFont="1" applyFill="1" applyBorder="1" applyAlignment="1">
      <alignment horizontal="center"/>
    </xf>
    <xf numFmtId="4" fontId="7" fillId="2" borderId="14" xfId="0" applyNumberFormat="1" applyFont="1" applyFill="1" applyBorder="1" applyAlignment="1">
      <alignment horizontal="center"/>
    </xf>
    <xf numFmtId="4" fontId="8" fillId="2" borderId="5" xfId="0" applyNumberFormat="1" applyFont="1" applyFill="1" applyBorder="1" applyAlignment="1">
      <alignment horizontal="center"/>
    </xf>
    <xf numFmtId="4" fontId="14" fillId="9" borderId="8"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 fontId="3" fillId="2" borderId="2"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4" fontId="3" fillId="2" borderId="10" xfId="0" applyNumberFormat="1" applyFont="1" applyFill="1" applyBorder="1" applyAlignment="1">
      <alignment horizontal="center" vertical="center"/>
    </xf>
    <xf numFmtId="4" fontId="3" fillId="2" borderId="11" xfId="0" applyNumberFormat="1" applyFont="1" applyFill="1" applyBorder="1" applyAlignment="1">
      <alignment horizontal="center" vertical="center"/>
    </xf>
    <xf numFmtId="4" fontId="4" fillId="2" borderId="3" xfId="0" applyNumberFormat="1" applyFont="1" applyFill="1" applyBorder="1" applyAlignment="1">
      <alignment horizontal="center" vertical="center"/>
    </xf>
    <xf numFmtId="4" fontId="4" fillId="2" borderId="12"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13" xfId="0" applyNumberFormat="1" applyFont="1" applyFill="1" applyBorder="1" applyAlignment="1">
      <alignment horizontal="center" vertical="center" wrapText="1"/>
    </xf>
    <xf numFmtId="4" fontId="17" fillId="18" borderId="19" xfId="0" applyNumberFormat="1" applyFont="1" applyFill="1" applyBorder="1" applyAlignment="1">
      <alignment horizontal="center"/>
    </xf>
    <xf numFmtId="4" fontId="7" fillId="18" borderId="0" xfId="0" applyNumberFormat="1" applyFont="1" applyFill="1" applyBorder="1"/>
    <xf numFmtId="0" fontId="16" fillId="18" borderId="0" xfId="0" applyFont="1" applyFill="1" applyBorder="1"/>
    <xf numFmtId="164" fontId="7" fillId="18" borderId="0" xfId="0" applyNumberFormat="1" applyFont="1" applyFill="1" applyBorder="1"/>
    <xf numFmtId="10" fontId="7" fillId="18" borderId="0" xfId="0" applyNumberFormat="1" applyFont="1" applyFill="1" applyBorder="1"/>
    <xf numFmtId="4" fontId="2" fillId="19" borderId="21" xfId="1" applyNumberFormat="1" applyAlignment="1" applyProtection="1">
      <alignment horizontal="center"/>
      <protection locked="0"/>
    </xf>
    <xf numFmtId="10" fontId="2" fillId="19" borderId="21" xfId="1" applyNumberFormat="1"/>
    <xf numFmtId="10" fontId="2" fillId="19" borderId="21" xfId="1" applyNumberFormat="1" applyProtection="1">
      <protection locked="0"/>
    </xf>
    <xf numFmtId="10" fontId="22" fillId="17" borderId="21" xfId="2" applyNumberFormat="1"/>
    <xf numFmtId="4" fontId="22" fillId="17" borderId="21" xfId="2" applyNumberFormat="1"/>
    <xf numFmtId="4" fontId="22" fillId="17" borderId="21" xfId="2" applyNumberFormat="1" applyAlignment="1">
      <alignment horizontal="right"/>
    </xf>
    <xf numFmtId="0" fontId="22" fillId="17" borderId="21" xfId="2" applyAlignment="1">
      <alignment horizontal="right"/>
    </xf>
    <xf numFmtId="0" fontId="9" fillId="18" borderId="0" xfId="0" applyFont="1" applyFill="1" applyBorder="1" applyAlignment="1" applyProtection="1">
      <alignment horizontal="center"/>
    </xf>
    <xf numFmtId="0" fontId="20" fillId="18" borderId="0" xfId="0" applyFont="1" applyFill="1"/>
    <xf numFmtId="0" fontId="21" fillId="18" borderId="8" xfId="0" applyFont="1" applyFill="1" applyBorder="1"/>
    <xf numFmtId="0" fontId="20" fillId="18" borderId="0" xfId="0" applyFont="1" applyFill="1" applyBorder="1"/>
    <xf numFmtId="0" fontId="21" fillId="18" borderId="0" xfId="0" applyFont="1" applyFill="1" applyAlignment="1">
      <alignment horizontal="center"/>
    </xf>
    <xf numFmtId="0" fontId="21" fillId="18" borderId="0" xfId="0" applyFont="1" applyFill="1"/>
  </cellXfs>
  <cellStyles count="3">
    <cellStyle name="Cálculo" xfId="2" builtinId="22"/>
    <cellStyle name="Entrada" xfId="1" builtinId="20"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19050</xdr:colOff>
      <xdr:row>0</xdr:row>
      <xdr:rowOff>0</xdr:rowOff>
    </xdr:from>
    <xdr:to>
      <xdr:col>10</xdr:col>
      <xdr:colOff>171450</xdr:colOff>
      <xdr:row>24</xdr:row>
      <xdr:rowOff>123825</xdr:rowOff>
    </xdr:to>
    <xdr:sp macro="" textlink="">
      <xdr:nvSpPr>
        <xdr:cNvPr id="2" name="1 CuadroTexto"/>
        <xdr:cNvSpPr txBox="1"/>
      </xdr:nvSpPr>
      <xdr:spPr>
        <a:xfrm>
          <a:off x="8696325" y="0"/>
          <a:ext cx="2466975" cy="4924425"/>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a:solidFill>
                <a:schemeClr val="dk1"/>
              </a:solidFill>
              <a:effectLst/>
              <a:latin typeface="+mn-lt"/>
              <a:ea typeface="+mn-ea"/>
              <a:cs typeface="+mn-cs"/>
            </a:rPr>
            <a:t>No coneixem cap mètode per determinar la valoració nutritiva d'una anàlisi d'una mostra d'</a:t>
          </a:r>
          <a:r>
            <a:rPr lang="ca-ES" sz="1100" i="1">
              <a:solidFill>
                <a:schemeClr val="dk1"/>
              </a:solidFill>
              <a:effectLst/>
              <a:latin typeface="+mn-lt"/>
              <a:ea typeface="+mn-ea"/>
              <a:cs typeface="+mn-cs"/>
            </a:rPr>
            <a:t>unifeed</a:t>
          </a:r>
          <a:r>
            <a:rPr lang="ca-ES" sz="1100">
              <a:solidFill>
                <a:schemeClr val="dk1"/>
              </a:solidFill>
              <a:effectLst/>
              <a:latin typeface="+mn-lt"/>
              <a:ea typeface="+mn-ea"/>
              <a:cs typeface="+mn-cs"/>
            </a:rPr>
            <a:t>. Aquí  proposem una sèrie de càlculs. Necessitem, en primer lloc, l'anàlisi química: %MS, PB, greix (EE), FB i cendres, com a imprescindibles, però no suficients. El més recomanable seria incloure-hi el contingut en NDF i ADF i la digestibilitat de la NDF. Si això no s'hi inclou, sí que necessitem la dCs, digestibilitat enzimàtica de la matèria orgànica.</a:t>
          </a:r>
        </a:p>
        <a:p>
          <a:r>
            <a:rPr lang="ca-ES" sz="1100">
              <a:solidFill>
                <a:schemeClr val="dk1"/>
              </a:solidFill>
              <a:effectLst/>
              <a:latin typeface="+mn-lt"/>
              <a:ea typeface="+mn-ea"/>
              <a:cs typeface="+mn-cs"/>
            </a:rPr>
            <a:t>Si tenim l'anàlisi sí que hem de saber de quin unifeed es tracta, és a dir, la composició del mateix, pel que fa a ingredients.  Es tracta de calcular el % de MS farratgera i de MS concentrat (que inclou els minerals). I, a la vegada, calcular:</a:t>
          </a:r>
        </a:p>
        <a:p>
          <a:r>
            <a:rPr lang="ca-ES" sz="1100">
              <a:solidFill>
                <a:schemeClr val="dk1"/>
              </a:solidFill>
              <a:effectLst/>
              <a:latin typeface="+mn-lt"/>
              <a:ea typeface="+mn-ea"/>
              <a:cs typeface="+mn-cs"/>
            </a:rPr>
            <a:t>1) El % de MS d'ensitjat de blat de moro que tingui sobre la MS farratgera, i sobre la total.</a:t>
          </a:r>
        </a:p>
        <a:p>
          <a:r>
            <a:rPr lang="ca-ES" sz="1100">
              <a:solidFill>
                <a:schemeClr val="dk1"/>
              </a:solidFill>
              <a:effectLst/>
              <a:latin typeface="+mn-lt"/>
              <a:ea typeface="+mn-ea"/>
              <a:cs typeface="+mn-cs"/>
            </a:rPr>
            <a:t>2) El % de MS d'ensitjats de lleguminoses que tingui sobre la MS farratgera i sobre la total.  3) El % de MS d'ensitjats de gramínies sobre la MS farratgera i la total.</a:t>
          </a:r>
          <a:endParaRPr lang="ca-ES" sz="1100" baseline="0"/>
        </a:p>
      </xdr:txBody>
    </xdr:sp>
    <xdr:clientData/>
  </xdr:twoCellAnchor>
  <xdr:twoCellAnchor>
    <xdr:from>
      <xdr:col>5</xdr:col>
      <xdr:colOff>19050</xdr:colOff>
      <xdr:row>23</xdr:row>
      <xdr:rowOff>180975</xdr:rowOff>
    </xdr:from>
    <xdr:to>
      <xdr:col>10</xdr:col>
      <xdr:colOff>171450</xdr:colOff>
      <xdr:row>29</xdr:row>
      <xdr:rowOff>114301</xdr:rowOff>
    </xdr:to>
    <xdr:sp macro="" textlink="">
      <xdr:nvSpPr>
        <xdr:cNvPr id="3" name="2 CuadroTexto"/>
        <xdr:cNvSpPr txBox="1"/>
      </xdr:nvSpPr>
      <xdr:spPr>
        <a:xfrm>
          <a:off x="6143625" y="4781550"/>
          <a:ext cx="5019675" cy="1133476"/>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a-ES" sz="1100">
              <a:solidFill>
                <a:schemeClr val="dk1"/>
              </a:solidFill>
              <a:effectLst/>
              <a:latin typeface="+mn-lt"/>
              <a:ea typeface="+mn-ea"/>
              <a:cs typeface="+mn-cs"/>
            </a:rPr>
            <a:t>4)</a:t>
          </a:r>
          <a:r>
            <a:rPr lang="ca-ES" sz="1100" baseline="0">
              <a:solidFill>
                <a:schemeClr val="dk1"/>
              </a:solidFill>
              <a:effectLst/>
              <a:latin typeface="+mn-lt"/>
              <a:ea typeface="+mn-ea"/>
              <a:cs typeface="+mn-cs"/>
            </a:rPr>
            <a:t> </a:t>
          </a:r>
          <a:r>
            <a:rPr lang="ca-ES" sz="1100">
              <a:solidFill>
                <a:schemeClr val="dk1"/>
              </a:solidFill>
              <a:effectLst/>
              <a:latin typeface="+mn-lt"/>
              <a:ea typeface="+mn-ea"/>
              <a:cs typeface="+mn-cs"/>
            </a:rPr>
            <a:t>El % de MS d'ensitjats de cereals sobre la MS farratgera i la total. </a:t>
          </a:r>
          <a:endParaRPr lang="ca-ES">
            <a:effectLst/>
          </a:endParaRPr>
        </a:p>
        <a:p>
          <a:r>
            <a:rPr lang="ca-ES" sz="1100">
              <a:solidFill>
                <a:schemeClr val="dk1"/>
              </a:solidFill>
              <a:effectLst/>
              <a:latin typeface="+mn-lt"/>
              <a:ea typeface="+mn-ea"/>
              <a:cs typeface="+mn-cs"/>
            </a:rPr>
            <a:t>5)</a:t>
          </a:r>
          <a:r>
            <a:rPr lang="ca-ES" sz="1100" baseline="0">
              <a:solidFill>
                <a:schemeClr val="dk1"/>
              </a:solidFill>
              <a:effectLst/>
              <a:latin typeface="+mn-lt"/>
              <a:ea typeface="+mn-ea"/>
              <a:cs typeface="+mn-cs"/>
            </a:rPr>
            <a:t> </a:t>
          </a:r>
          <a:r>
            <a:rPr lang="ca-ES" sz="1100">
              <a:solidFill>
                <a:schemeClr val="dk1"/>
              </a:solidFill>
              <a:effectLst/>
              <a:latin typeface="+mn-lt"/>
              <a:ea typeface="+mn-ea"/>
              <a:cs typeface="+mn-cs"/>
            </a:rPr>
            <a:t>El % de MS dels secs sobre la MS farratgera i sobre la total. El % de  MS cereals i derivats (no bagàs) sobre la  MS de la part de concentrats i sobre el total.  6)</a:t>
          </a:r>
          <a:r>
            <a:rPr lang="ca-ES" sz="1100" baseline="0">
              <a:solidFill>
                <a:schemeClr val="dk1"/>
              </a:solidFill>
              <a:effectLst/>
              <a:latin typeface="+mn-lt"/>
              <a:ea typeface="+mn-ea"/>
              <a:cs typeface="+mn-cs"/>
            </a:rPr>
            <a:t> </a:t>
          </a:r>
          <a:r>
            <a:rPr lang="ca-ES" sz="1100">
              <a:solidFill>
                <a:schemeClr val="dk1"/>
              </a:solidFill>
              <a:effectLst/>
              <a:latin typeface="+mn-lt"/>
              <a:ea typeface="+mn-ea"/>
              <a:cs typeface="+mn-cs"/>
            </a:rPr>
            <a:t>El % de  MS de lleguminoses i derivats i de bagàs sobre la  MS de la part de concentrats i sobre el total. 7) El % de  MS de blat de moro i derivats sobre la  MS de la part de concentrats i sobre el total.</a:t>
          </a:r>
          <a:endParaRPr lang="ca-ES" sz="1100"/>
        </a:p>
      </xdr:txBody>
    </xdr:sp>
    <xdr:clientData/>
  </xdr:twoCellAnchor>
  <xdr:twoCellAnchor>
    <xdr:from>
      <xdr:col>3</xdr:col>
      <xdr:colOff>19050</xdr:colOff>
      <xdr:row>29</xdr:row>
      <xdr:rowOff>47625</xdr:rowOff>
    </xdr:from>
    <xdr:to>
      <xdr:col>11</xdr:col>
      <xdr:colOff>0</xdr:colOff>
      <xdr:row>37</xdr:row>
      <xdr:rowOff>200024</xdr:rowOff>
    </xdr:to>
    <xdr:sp macro="" textlink="">
      <xdr:nvSpPr>
        <xdr:cNvPr id="4" name="3 CuadroTexto"/>
        <xdr:cNvSpPr txBox="1"/>
      </xdr:nvSpPr>
      <xdr:spPr>
        <a:xfrm>
          <a:off x="2238375" y="5848350"/>
          <a:ext cx="8934450" cy="1752599"/>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a-ES" sz="1100">
              <a:solidFill>
                <a:schemeClr val="dk1"/>
              </a:solidFill>
              <a:effectLst/>
              <a:latin typeface="+mn-lt"/>
              <a:ea typeface="+mn-ea"/>
              <a:cs typeface="+mn-cs"/>
            </a:rPr>
            <a:t>8) El % de  MS d'altres concentrats sobre la  MS de la part de concentrats i sobre el total. </a:t>
          </a:r>
          <a:endParaRPr lang="ca-ES">
            <a:effectLst/>
          </a:endParaRPr>
        </a:p>
        <a:p>
          <a:pPr marL="0" marR="0" indent="0" defTabSz="914400" eaLnBrk="1" fontAlgn="auto" latinLnBrk="0" hangingPunct="1">
            <a:lnSpc>
              <a:spcPct val="100000"/>
            </a:lnSpc>
            <a:spcBef>
              <a:spcPts val="0"/>
            </a:spcBef>
            <a:spcAft>
              <a:spcPts val="0"/>
            </a:spcAft>
            <a:buClrTx/>
            <a:buSzTx/>
            <a:buFontTx/>
            <a:buNone/>
            <a:tabLst/>
            <a:defRPr/>
          </a:pPr>
          <a:r>
            <a:rPr lang="ca-ES" sz="1100">
              <a:solidFill>
                <a:schemeClr val="dk1"/>
              </a:solidFill>
              <a:effectLst/>
              <a:latin typeface="+mn-lt"/>
              <a:ea typeface="+mn-ea"/>
              <a:cs typeface="+mn-cs"/>
            </a:rPr>
            <a:t>En tenir aquests càlculs</a:t>
          </a:r>
          <a:r>
            <a:rPr lang="ca-ES" sz="1100" baseline="0">
              <a:solidFill>
                <a:schemeClr val="dk1"/>
              </a:solidFill>
              <a:effectLst/>
              <a:latin typeface="+mn-lt"/>
              <a:ea typeface="+mn-ea"/>
              <a:cs typeface="+mn-cs"/>
            </a:rPr>
            <a:t> </a:t>
          </a:r>
          <a:r>
            <a:rPr lang="ca-ES" sz="1100">
              <a:solidFill>
                <a:schemeClr val="dk1"/>
              </a:solidFill>
              <a:effectLst/>
              <a:latin typeface="+mn-lt"/>
              <a:ea typeface="+mn-ea"/>
              <a:cs typeface="+mn-cs"/>
            </a:rPr>
            <a:t>s'han de traslladar al full. En primer lloc omplirem les dades de l'anàlisi en les caselles blaves. Després omplirem les caselles relatives a la composició de l'</a:t>
          </a:r>
          <a:r>
            <a:rPr lang="ca-ES" sz="1100" i="1">
              <a:solidFill>
                <a:schemeClr val="dk1"/>
              </a:solidFill>
              <a:effectLst/>
              <a:latin typeface="+mn-lt"/>
              <a:ea typeface="+mn-ea"/>
              <a:cs typeface="+mn-cs"/>
            </a:rPr>
            <a:t>unifeed</a:t>
          </a:r>
          <a:r>
            <a:rPr lang="ca-ES" sz="1100">
              <a:solidFill>
                <a:schemeClr val="dk1"/>
              </a:solidFill>
              <a:effectLst/>
              <a:latin typeface="+mn-lt"/>
              <a:ea typeface="+mn-ea"/>
              <a:cs typeface="+mn-cs"/>
            </a:rPr>
            <a:t>, % MS dels diferents conjunts d'ingredients, tal com s'especifica. S'ompliran les caselles blaves. La resta de caselles són càlculs.</a:t>
          </a:r>
          <a:endParaRPr lang="ca-ES">
            <a:effectLst/>
          </a:endParaRPr>
        </a:p>
        <a:p>
          <a:r>
            <a:rPr lang="ca-ES" sz="1100">
              <a:solidFill>
                <a:schemeClr val="dk1"/>
              </a:solidFill>
              <a:effectLst/>
              <a:latin typeface="+mn-lt"/>
              <a:ea typeface="+mn-ea"/>
              <a:cs typeface="+mn-cs"/>
            </a:rPr>
            <a:t>El full conté una sèrie de dades, mitjanes, dels valors de les degradabilitats  (DT) dels diferents conjunts d'aliments, de les digestibilitats de la matèria nitrogenada (dr) i dels productes de la fermentació dels ensitjats (PF). </a:t>
          </a:r>
        </a:p>
        <a:p>
          <a:r>
            <a:rPr lang="ca-ES" sz="1100">
              <a:solidFill>
                <a:schemeClr val="dk1"/>
              </a:solidFill>
              <a:effectLst/>
              <a:latin typeface="+mn-lt"/>
              <a:ea typeface="+mn-ea"/>
              <a:cs typeface="+mn-cs"/>
            </a:rPr>
            <a:t>A través de les dades de </a:t>
          </a:r>
          <a:r>
            <a:rPr lang="ca-ES" sz="1100" i="1">
              <a:solidFill>
                <a:schemeClr val="dk1"/>
              </a:solidFill>
              <a:effectLst/>
              <a:latin typeface="+mn-lt"/>
              <a:ea typeface="+mn-ea"/>
              <a:cs typeface="+mn-cs"/>
            </a:rPr>
            <a:t>dNDF</a:t>
          </a:r>
          <a:r>
            <a:rPr lang="ca-ES" sz="1100">
              <a:solidFill>
                <a:schemeClr val="dk1"/>
              </a:solidFill>
              <a:effectLst/>
              <a:latin typeface="+mn-lt"/>
              <a:ea typeface="+mn-ea"/>
              <a:cs typeface="+mn-cs"/>
            </a:rPr>
            <a:t> i continguts en NDF i ADF, o en el seu defecte a través de la </a:t>
          </a:r>
          <a:r>
            <a:rPr lang="ca-ES" sz="1100" i="1">
              <a:solidFill>
                <a:schemeClr val="dk1"/>
              </a:solidFill>
              <a:effectLst/>
              <a:latin typeface="+mn-lt"/>
              <a:ea typeface="+mn-ea"/>
              <a:cs typeface="+mn-cs"/>
            </a:rPr>
            <a:t>dCs</a:t>
          </a:r>
          <a:r>
            <a:rPr lang="ca-ES" sz="1100">
              <a:solidFill>
                <a:schemeClr val="dk1"/>
              </a:solidFill>
              <a:effectLst/>
              <a:latin typeface="+mn-lt"/>
              <a:ea typeface="+mn-ea"/>
              <a:cs typeface="+mn-cs"/>
            </a:rPr>
            <a:t>, s'arriba a determinar la digestibilitat de la matèria orgànica </a:t>
          </a:r>
          <a:r>
            <a:rPr lang="ca-ES" sz="1100" i="1">
              <a:solidFill>
                <a:schemeClr val="dk1"/>
              </a:solidFill>
              <a:effectLst/>
              <a:latin typeface="+mn-lt"/>
              <a:ea typeface="+mn-ea"/>
              <a:cs typeface="+mn-cs"/>
            </a:rPr>
            <a:t>dMO</a:t>
          </a:r>
          <a:r>
            <a:rPr lang="ca-ES" sz="1100">
              <a:solidFill>
                <a:schemeClr val="dk1"/>
              </a:solidFill>
              <a:effectLst/>
              <a:latin typeface="+mn-lt"/>
              <a:ea typeface="+mn-ea"/>
              <a:cs typeface="+mn-cs"/>
            </a:rPr>
            <a:t>, i, juntament, amb els valors mitjans de l'energia bruta dels diferents components s'arriba a l'energia digestible, amb el valor calculat de la digestibilitat de l'energia dE. L'idea del full és calcular, de manera el més aproximada possible, els diferents valors d'energia metabolitzable dels conjunts d'ingredients (concentrats i farratges) per tal d'arribar a l'energia neta. Igualment es procedeix en els càlculs de la proteïna no degradable i la microbiana.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14</xdr:row>
      <xdr:rowOff>95250</xdr:rowOff>
    </xdr:from>
    <xdr:to>
      <xdr:col>3</xdr:col>
      <xdr:colOff>714375</xdr:colOff>
      <xdr:row>14</xdr:row>
      <xdr:rowOff>104775</xdr:rowOff>
    </xdr:to>
    <xdr:cxnSp macro="">
      <xdr:nvCxnSpPr>
        <xdr:cNvPr id="2" name="1 Conector recto de flecha"/>
        <xdr:cNvCxnSpPr/>
      </xdr:nvCxnSpPr>
      <xdr:spPr>
        <a:xfrm flipV="1">
          <a:off x="2686050" y="2838450"/>
          <a:ext cx="676275" cy="9525"/>
        </a:xfrm>
        <a:prstGeom prst="straightConnector1">
          <a:avLst/>
        </a:prstGeom>
        <a:ln>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xdr:row>
      <xdr:rowOff>38101</xdr:rowOff>
    </xdr:from>
    <xdr:to>
      <xdr:col>6</xdr:col>
      <xdr:colOff>304800</xdr:colOff>
      <xdr:row>6</xdr:row>
      <xdr:rowOff>19050</xdr:rowOff>
    </xdr:to>
    <xdr:cxnSp macro="">
      <xdr:nvCxnSpPr>
        <xdr:cNvPr id="3" name="2 Conector recto de flecha"/>
        <xdr:cNvCxnSpPr/>
      </xdr:nvCxnSpPr>
      <xdr:spPr>
        <a:xfrm>
          <a:off x="5486400" y="419101"/>
          <a:ext cx="876300" cy="742949"/>
        </a:xfrm>
        <a:prstGeom prst="straightConnector1">
          <a:avLst/>
        </a:prstGeom>
        <a:ln>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1095376</xdr:colOff>
      <xdr:row>27</xdr:row>
      <xdr:rowOff>9525</xdr:rowOff>
    </xdr:from>
    <xdr:to>
      <xdr:col>4</xdr:col>
      <xdr:colOff>657226</xdr:colOff>
      <xdr:row>29</xdr:row>
      <xdr:rowOff>76200</xdr:rowOff>
    </xdr:to>
    <xdr:sp macro="" textlink="">
      <xdr:nvSpPr>
        <xdr:cNvPr id="4" name="3 CuadroTexto"/>
        <xdr:cNvSpPr txBox="1"/>
      </xdr:nvSpPr>
      <xdr:spPr>
        <a:xfrm>
          <a:off x="1095376" y="5238750"/>
          <a:ext cx="2971800" cy="4476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a:t>Es separen els ingredients farratgers de la resta</a:t>
          </a:r>
        </a:p>
      </xdr:txBody>
    </xdr:sp>
    <xdr:clientData/>
  </xdr:twoCellAnchor>
  <xdr:twoCellAnchor>
    <xdr:from>
      <xdr:col>2</xdr:col>
      <xdr:colOff>695326</xdr:colOff>
      <xdr:row>14</xdr:row>
      <xdr:rowOff>85725</xdr:rowOff>
    </xdr:from>
    <xdr:to>
      <xdr:col>3</xdr:col>
      <xdr:colOff>381000</xdr:colOff>
      <xdr:row>27</xdr:row>
      <xdr:rowOff>9525</xdr:rowOff>
    </xdr:to>
    <xdr:cxnSp macro="">
      <xdr:nvCxnSpPr>
        <xdr:cNvPr id="5" name="4 Conector recto de flecha"/>
        <xdr:cNvCxnSpPr>
          <a:stCxn id="4" idx="0"/>
        </xdr:cNvCxnSpPr>
      </xdr:nvCxnSpPr>
      <xdr:spPr>
        <a:xfrm flipV="1">
          <a:off x="2581276" y="2828925"/>
          <a:ext cx="447674" cy="2409825"/>
        </a:xfrm>
        <a:prstGeom prst="straightConnector1">
          <a:avLst/>
        </a:prstGeom>
        <a:ln>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542925</xdr:colOff>
      <xdr:row>0</xdr:row>
      <xdr:rowOff>133351</xdr:rowOff>
    </xdr:from>
    <xdr:to>
      <xdr:col>8</xdr:col>
      <xdr:colOff>180975</xdr:colOff>
      <xdr:row>2</xdr:row>
      <xdr:rowOff>57151</xdr:rowOff>
    </xdr:to>
    <xdr:sp macro="" textlink="">
      <xdr:nvSpPr>
        <xdr:cNvPr id="6" name="5 CuadroTexto"/>
        <xdr:cNvSpPr txBox="1"/>
      </xdr:nvSpPr>
      <xdr:spPr>
        <a:xfrm>
          <a:off x="3190875" y="133351"/>
          <a:ext cx="4572000" cy="3048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050"/>
            <a:t>Es</a:t>
          </a:r>
          <a:r>
            <a:rPr lang="ca-ES" sz="1050" baseline="0"/>
            <a:t> posa el contingut en MS (%) de cada ingredient, si no es té s'improvisa</a:t>
          </a:r>
          <a:endParaRPr lang="ca-ES" sz="1050"/>
        </a:p>
      </xdr:txBody>
    </xdr:sp>
    <xdr:clientData/>
  </xdr:twoCellAnchor>
  <xdr:twoCellAnchor>
    <xdr:from>
      <xdr:col>6</xdr:col>
      <xdr:colOff>266700</xdr:colOff>
      <xdr:row>2</xdr:row>
      <xdr:rowOff>104776</xdr:rowOff>
    </xdr:from>
    <xdr:to>
      <xdr:col>8</xdr:col>
      <xdr:colOff>361950</xdr:colOff>
      <xdr:row>5</xdr:row>
      <xdr:rowOff>9526</xdr:rowOff>
    </xdr:to>
    <xdr:sp macro="" textlink="">
      <xdr:nvSpPr>
        <xdr:cNvPr id="7" name="6 CuadroTexto"/>
        <xdr:cNvSpPr txBox="1"/>
      </xdr:nvSpPr>
      <xdr:spPr>
        <a:xfrm>
          <a:off x="6324600" y="485776"/>
          <a:ext cx="1619250" cy="4762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a:t>Càlcul de la quantitat de cada ingredient en MS</a:t>
          </a:r>
        </a:p>
      </xdr:txBody>
    </xdr:sp>
    <xdr:clientData/>
  </xdr:twoCellAnchor>
  <xdr:twoCellAnchor>
    <xdr:from>
      <xdr:col>7</xdr:col>
      <xdr:colOff>314325</xdr:colOff>
      <xdr:row>5</xdr:row>
      <xdr:rowOff>9526</xdr:rowOff>
    </xdr:from>
    <xdr:to>
      <xdr:col>7</xdr:col>
      <xdr:colOff>342900</xdr:colOff>
      <xdr:row>6</xdr:row>
      <xdr:rowOff>19050</xdr:rowOff>
    </xdr:to>
    <xdr:cxnSp macro="">
      <xdr:nvCxnSpPr>
        <xdr:cNvPr id="8" name="7 Conector recto de flecha"/>
        <xdr:cNvCxnSpPr>
          <a:stCxn id="7" idx="2"/>
        </xdr:cNvCxnSpPr>
      </xdr:nvCxnSpPr>
      <xdr:spPr>
        <a:xfrm>
          <a:off x="7134225" y="962026"/>
          <a:ext cx="28575" cy="200024"/>
        </a:xfrm>
        <a:prstGeom prst="straightConnector1">
          <a:avLst/>
        </a:prstGeom>
        <a:ln>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647701</xdr:colOff>
      <xdr:row>0</xdr:row>
      <xdr:rowOff>57150</xdr:rowOff>
    </xdr:from>
    <xdr:to>
      <xdr:col>10</xdr:col>
      <xdr:colOff>390526</xdr:colOff>
      <xdr:row>5</xdr:row>
      <xdr:rowOff>66675</xdr:rowOff>
    </xdr:to>
    <xdr:sp macro="" textlink="">
      <xdr:nvSpPr>
        <xdr:cNvPr id="9" name="8 CuadroTexto"/>
        <xdr:cNvSpPr txBox="1"/>
      </xdr:nvSpPr>
      <xdr:spPr>
        <a:xfrm>
          <a:off x="8229601" y="57150"/>
          <a:ext cx="1752600" cy="9620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050"/>
            <a:t>Es calcula el % de MS de cada farratge sobre el total de MS</a:t>
          </a:r>
          <a:r>
            <a:rPr lang="ca-ES" sz="1050" baseline="0"/>
            <a:t> farratgera, i de cada no farratge sobre el total de MS no farratgera</a:t>
          </a:r>
          <a:endParaRPr lang="ca-ES" sz="1050"/>
        </a:p>
      </xdr:txBody>
    </xdr:sp>
    <xdr:clientData/>
  </xdr:twoCellAnchor>
  <xdr:twoCellAnchor>
    <xdr:from>
      <xdr:col>8</xdr:col>
      <xdr:colOff>847725</xdr:colOff>
      <xdr:row>5</xdr:row>
      <xdr:rowOff>66675</xdr:rowOff>
    </xdr:from>
    <xdr:to>
      <xdr:col>9</xdr:col>
      <xdr:colOff>276226</xdr:colOff>
      <xdr:row>6</xdr:row>
      <xdr:rowOff>9525</xdr:rowOff>
    </xdr:to>
    <xdr:cxnSp macro="">
      <xdr:nvCxnSpPr>
        <xdr:cNvPr id="10" name="9 Conector recto de flecha"/>
        <xdr:cNvCxnSpPr>
          <a:stCxn id="9" idx="2"/>
        </xdr:cNvCxnSpPr>
      </xdr:nvCxnSpPr>
      <xdr:spPr>
        <a:xfrm flipH="1">
          <a:off x="8429625" y="1019175"/>
          <a:ext cx="676276" cy="133350"/>
        </a:xfrm>
        <a:prstGeom prst="straightConnector1">
          <a:avLst/>
        </a:prstGeom>
        <a:ln>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3</xdr:row>
      <xdr:rowOff>114300</xdr:rowOff>
    </xdr:from>
    <xdr:to>
      <xdr:col>11</xdr:col>
      <xdr:colOff>1743075</xdr:colOff>
      <xdr:row>4</xdr:row>
      <xdr:rowOff>190499</xdr:rowOff>
    </xdr:to>
    <xdr:sp macro="" textlink="">
      <xdr:nvSpPr>
        <xdr:cNvPr id="11" name="10 CuadroTexto"/>
        <xdr:cNvSpPr txBox="1"/>
      </xdr:nvSpPr>
      <xdr:spPr>
        <a:xfrm>
          <a:off x="10753725" y="685800"/>
          <a:ext cx="1704975" cy="2666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a:t>Agrupació de resultats </a:t>
          </a:r>
        </a:p>
      </xdr:txBody>
    </xdr:sp>
    <xdr:clientData/>
  </xdr:twoCellAnchor>
  <xdr:twoCellAnchor>
    <xdr:from>
      <xdr:col>11</xdr:col>
      <xdr:colOff>3076575</xdr:colOff>
      <xdr:row>1</xdr:row>
      <xdr:rowOff>19051</xdr:rowOff>
    </xdr:from>
    <xdr:to>
      <xdr:col>13</xdr:col>
      <xdr:colOff>161925</xdr:colOff>
      <xdr:row>3</xdr:row>
      <xdr:rowOff>114300</xdr:rowOff>
    </xdr:to>
    <xdr:sp macro="" textlink="">
      <xdr:nvSpPr>
        <xdr:cNvPr id="12" name="11 CuadroTexto"/>
        <xdr:cNvSpPr txBox="1"/>
      </xdr:nvSpPr>
      <xdr:spPr>
        <a:xfrm>
          <a:off x="13792200" y="209551"/>
          <a:ext cx="1219200" cy="47624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a:t>Valors que aniran al full de càlcul</a:t>
          </a:r>
        </a:p>
      </xdr:txBody>
    </xdr:sp>
    <xdr:clientData/>
  </xdr:twoCellAnchor>
  <xdr:twoCellAnchor>
    <xdr:from>
      <xdr:col>11</xdr:col>
      <xdr:colOff>890588</xdr:colOff>
      <xdr:row>4</xdr:row>
      <xdr:rowOff>190499</xdr:rowOff>
    </xdr:from>
    <xdr:to>
      <xdr:col>11</xdr:col>
      <xdr:colOff>933450</xdr:colOff>
      <xdr:row>5</xdr:row>
      <xdr:rowOff>161925</xdr:rowOff>
    </xdr:to>
    <xdr:cxnSp macro="">
      <xdr:nvCxnSpPr>
        <xdr:cNvPr id="13" name="12 Conector recto de flecha"/>
        <xdr:cNvCxnSpPr>
          <a:stCxn id="11" idx="2"/>
        </xdr:cNvCxnSpPr>
      </xdr:nvCxnSpPr>
      <xdr:spPr>
        <a:xfrm>
          <a:off x="11606213" y="952499"/>
          <a:ext cx="42862" cy="161926"/>
        </a:xfrm>
        <a:prstGeom prst="straightConnector1">
          <a:avLst/>
        </a:prstGeom>
        <a:ln>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314325</xdr:colOff>
      <xdr:row>3</xdr:row>
      <xdr:rowOff>114300</xdr:rowOff>
    </xdr:from>
    <xdr:to>
      <xdr:col>12</xdr:col>
      <xdr:colOff>314325</xdr:colOff>
      <xdr:row>5</xdr:row>
      <xdr:rowOff>161925</xdr:rowOff>
    </xdr:to>
    <xdr:cxnSp macro="">
      <xdr:nvCxnSpPr>
        <xdr:cNvPr id="14" name="13 Conector recto de flecha"/>
        <xdr:cNvCxnSpPr>
          <a:stCxn id="12" idx="2"/>
        </xdr:cNvCxnSpPr>
      </xdr:nvCxnSpPr>
      <xdr:spPr>
        <a:xfrm>
          <a:off x="14401800" y="685800"/>
          <a:ext cx="0" cy="428625"/>
        </a:xfrm>
        <a:prstGeom prst="straightConnector1">
          <a:avLst/>
        </a:prstGeom>
        <a:ln>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0</xdr:row>
      <xdr:rowOff>57150</xdr:rowOff>
    </xdr:from>
    <xdr:to>
      <xdr:col>3</xdr:col>
      <xdr:colOff>28575</xdr:colOff>
      <xdr:row>5</xdr:row>
      <xdr:rowOff>161925</xdr:rowOff>
    </xdr:to>
    <xdr:sp macro="" textlink="">
      <xdr:nvSpPr>
        <xdr:cNvPr id="15" name="14 CuadroTexto"/>
        <xdr:cNvSpPr txBox="1"/>
      </xdr:nvSpPr>
      <xdr:spPr>
        <a:xfrm>
          <a:off x="38100" y="57150"/>
          <a:ext cx="2638425" cy="1057275"/>
        </a:xfrm>
        <a:prstGeom prst="rect">
          <a:avLst/>
        </a:prstGeom>
        <a:solidFill>
          <a:schemeClr val="accent3">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ca-ES" sz="1800">
              <a:solidFill>
                <a:schemeClr val="bg1"/>
              </a:solidFill>
            </a:rPr>
            <a:t>Exemple de ració </a:t>
          </a:r>
          <a:r>
            <a:rPr lang="ca-ES" sz="1800" i="1">
              <a:solidFill>
                <a:schemeClr val="bg1"/>
              </a:solidFill>
            </a:rPr>
            <a:t>unifeed</a:t>
          </a:r>
          <a:endParaRPr lang="ca-ES" sz="1800" i="0">
            <a:solidFill>
              <a:schemeClr val="bg1"/>
            </a:solidFill>
          </a:endParaRPr>
        </a:p>
        <a:p>
          <a:r>
            <a:rPr lang="ca-ES" sz="1800" i="0">
              <a:solidFill>
                <a:schemeClr val="bg1"/>
              </a:solidFill>
            </a:rPr>
            <a:t>Càlcul</a:t>
          </a:r>
          <a:r>
            <a:rPr lang="ca-ES" sz="1800" i="0" baseline="0">
              <a:solidFill>
                <a:schemeClr val="bg1"/>
              </a:solidFill>
            </a:rPr>
            <a:t> dels % dels diferents grups d'aliments que la composen</a:t>
          </a:r>
          <a:endParaRPr lang="ca-ES" sz="1800">
            <a:solidFill>
              <a:schemeClr val="bg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1"/>
  <sheetViews>
    <sheetView workbookViewId="0">
      <selection activeCell="P30" sqref="P30"/>
    </sheetView>
  </sheetViews>
  <sheetFormatPr baseColWidth="10" defaultColWidth="9.140625" defaultRowHeight="15.75" x14ac:dyDescent="0.25"/>
  <cols>
    <col min="1" max="1" width="5.140625" style="2" customWidth="1"/>
    <col min="2" max="2" width="20.28515625" style="1" bestFit="1" customWidth="1"/>
    <col min="3" max="3" width="13" style="1" bestFit="1" customWidth="1"/>
    <col min="4" max="4" width="50.5703125" style="1" bestFit="1" customWidth="1"/>
    <col min="5" max="5" width="8" style="1" bestFit="1" customWidth="1"/>
    <col min="6" max="6" width="11.140625" style="1" bestFit="1" customWidth="1"/>
    <col min="7" max="7" width="19" style="1" bestFit="1" customWidth="1"/>
    <col min="8" max="8" width="8.140625" style="1" bestFit="1" customWidth="1"/>
    <col min="9" max="9" width="25.7109375" style="1" bestFit="1" customWidth="1"/>
    <col min="10" max="10" width="9" style="1" customWidth="1"/>
    <col min="11" max="11" width="2.7109375" style="2" customWidth="1"/>
    <col min="12" max="13" width="9.140625" style="2"/>
    <col min="14" max="14" width="6.42578125" style="2" customWidth="1"/>
    <col min="15" max="15" width="20.7109375" style="59" bestFit="1" customWidth="1"/>
    <col min="16" max="16" width="9.140625" style="59"/>
    <col min="17" max="16384" width="9.140625" style="2"/>
  </cols>
  <sheetData>
    <row r="1" spans="1:53" x14ac:dyDescent="0.25">
      <c r="B1" s="64" t="s">
        <v>0</v>
      </c>
      <c r="C1" s="65"/>
      <c r="D1" s="70" t="s">
        <v>1</v>
      </c>
      <c r="E1" s="72" t="s">
        <v>2</v>
      </c>
      <c r="F1" s="74" t="s">
        <v>3</v>
      </c>
      <c r="G1" s="60"/>
      <c r="H1" s="60"/>
      <c r="L1" s="62" t="s">
        <v>4</v>
      </c>
      <c r="M1" s="62"/>
      <c r="N1" s="78"/>
      <c r="Q1" s="3"/>
      <c r="R1" s="3"/>
      <c r="S1" s="3"/>
      <c r="T1" s="3"/>
      <c r="U1" s="3"/>
      <c r="V1" s="3"/>
      <c r="W1" s="3"/>
      <c r="X1" s="3"/>
      <c r="Y1" s="3"/>
      <c r="Z1" s="3"/>
      <c r="AA1" s="3"/>
      <c r="AB1" s="3"/>
      <c r="AC1" s="3"/>
      <c r="AD1" s="3"/>
      <c r="AE1" s="3"/>
      <c r="AF1" s="4"/>
      <c r="AG1" s="4"/>
      <c r="AH1" s="4"/>
      <c r="AI1" s="4"/>
      <c r="AJ1" s="4"/>
      <c r="AK1" s="4"/>
      <c r="AL1" s="4"/>
      <c r="AM1" s="4"/>
      <c r="AN1" s="4"/>
      <c r="AO1" s="4"/>
      <c r="AP1" s="4"/>
      <c r="AQ1" s="4"/>
      <c r="AR1" s="4"/>
      <c r="AS1" s="4"/>
      <c r="AT1" s="4"/>
      <c r="AU1" s="4"/>
      <c r="AV1" s="4"/>
      <c r="AW1" s="4"/>
      <c r="AX1" s="4"/>
      <c r="AY1" s="4"/>
    </row>
    <row r="2" spans="1:53" x14ac:dyDescent="0.25">
      <c r="B2" s="66"/>
      <c r="C2" s="67"/>
      <c r="D2" s="70"/>
      <c r="E2" s="73"/>
      <c r="F2" s="75"/>
      <c r="G2" s="60"/>
      <c r="H2" s="60"/>
      <c r="I2" s="5"/>
      <c r="J2" s="6"/>
      <c r="K2" s="7"/>
      <c r="L2" s="8" t="s">
        <v>5</v>
      </c>
      <c r="M2" s="87">
        <f>C4</f>
        <v>48.03</v>
      </c>
      <c r="N2" s="89"/>
      <c r="Q2" s="3"/>
      <c r="R2" s="3"/>
      <c r="S2" s="3"/>
      <c r="T2" s="3"/>
      <c r="U2" s="3"/>
      <c r="V2" s="3"/>
      <c r="W2" s="3"/>
      <c r="X2" s="3"/>
      <c r="Y2" s="3"/>
      <c r="Z2" s="3"/>
      <c r="AA2" s="3"/>
      <c r="AB2" s="3"/>
      <c r="AC2" s="3"/>
      <c r="AD2" s="3"/>
      <c r="AE2" s="3"/>
      <c r="AF2" s="4"/>
      <c r="AG2" s="4"/>
      <c r="AH2" s="4"/>
      <c r="AI2" s="4"/>
      <c r="AJ2" s="4"/>
      <c r="AK2" s="4"/>
      <c r="AL2" s="4"/>
      <c r="AM2" s="4"/>
      <c r="AN2" s="4"/>
      <c r="AO2" s="4"/>
      <c r="AP2" s="4"/>
      <c r="AQ2" s="4"/>
      <c r="AR2" s="4"/>
      <c r="AS2" s="4"/>
      <c r="AT2" s="4"/>
      <c r="AU2" s="4"/>
      <c r="AV2" s="4"/>
      <c r="AW2" s="4"/>
      <c r="AX2" s="4"/>
      <c r="AY2" s="4"/>
      <c r="AZ2" s="10"/>
      <c r="BA2" s="10"/>
    </row>
    <row r="3" spans="1:53" x14ac:dyDescent="0.25">
      <c r="B3" s="68"/>
      <c r="C3" s="69"/>
      <c r="D3" s="71"/>
      <c r="E3" s="73"/>
      <c r="F3" s="76"/>
      <c r="G3" s="61"/>
      <c r="H3" s="61"/>
      <c r="L3" s="8" t="s">
        <v>7</v>
      </c>
      <c r="M3" s="87">
        <f>C30/1700</f>
        <v>0.98251931696541006</v>
      </c>
      <c r="N3" s="78"/>
    </row>
    <row r="4" spans="1:53" x14ac:dyDescent="0.25">
      <c r="A4" s="78"/>
      <c r="B4" s="11" t="s">
        <v>8</v>
      </c>
      <c r="C4" s="82">
        <v>48.03</v>
      </c>
      <c r="D4" s="12" t="s">
        <v>9</v>
      </c>
      <c r="E4" s="83">
        <v>0.6210790464240904</v>
      </c>
      <c r="F4" s="85">
        <f>E4*H$4</f>
        <v>0.26250377514898865</v>
      </c>
      <c r="G4" s="13" t="s">
        <v>10</v>
      </c>
      <c r="H4" s="84">
        <v>0.42265759352271498</v>
      </c>
      <c r="L4" s="8" t="s">
        <v>11</v>
      </c>
      <c r="M4" s="14"/>
      <c r="N4" s="78"/>
    </row>
    <row r="5" spans="1:53" x14ac:dyDescent="0.25">
      <c r="A5" s="78"/>
      <c r="B5" s="11" t="s">
        <v>12</v>
      </c>
      <c r="C5" s="82">
        <v>16.536000000000001</v>
      </c>
      <c r="D5" s="13" t="s">
        <v>13</v>
      </c>
      <c r="E5" s="84">
        <v>0</v>
      </c>
      <c r="F5" s="85">
        <f>E5*H$4</f>
        <v>0</v>
      </c>
      <c r="G5" s="15" t="s">
        <v>14</v>
      </c>
      <c r="H5" s="84">
        <v>0.57734240647728508</v>
      </c>
      <c r="L5" s="8" t="s">
        <v>15</v>
      </c>
      <c r="M5" s="87">
        <f>C5+10</f>
        <v>26.536000000000001</v>
      </c>
      <c r="N5" s="78"/>
    </row>
    <row r="6" spans="1:53" x14ac:dyDescent="0.25">
      <c r="A6" s="78"/>
      <c r="B6" s="16" t="s">
        <v>16</v>
      </c>
      <c r="C6" s="82">
        <v>5.86</v>
      </c>
      <c r="D6" s="13" t="s">
        <v>17</v>
      </c>
      <c r="E6" s="84">
        <v>0.26139690506064406</v>
      </c>
      <c r="F6" s="85">
        <f>E6*H$4</f>
        <v>0.11048138684721741</v>
      </c>
      <c r="G6" s="17" t="s">
        <v>18</v>
      </c>
      <c r="H6" s="18">
        <v>0.71</v>
      </c>
      <c r="L6" s="8" t="s">
        <v>19</v>
      </c>
      <c r="M6" s="88">
        <f>E22+E23+E24+E25+E26+E27+E28+E29</f>
        <v>54.348652325136982</v>
      </c>
      <c r="N6" s="78"/>
    </row>
    <row r="7" spans="1:53" x14ac:dyDescent="0.25">
      <c r="A7" s="78"/>
      <c r="B7" s="16" t="s">
        <v>20</v>
      </c>
      <c r="C7" s="82">
        <v>15.13</v>
      </c>
      <c r="D7" s="13" t="s">
        <v>21</v>
      </c>
      <c r="E7" s="84">
        <v>0</v>
      </c>
      <c r="F7" s="85">
        <f>E7*H$4</f>
        <v>0</v>
      </c>
      <c r="G7" s="17" t="s">
        <v>22</v>
      </c>
      <c r="H7" s="18">
        <v>0.76</v>
      </c>
      <c r="L7" s="8" t="s">
        <v>23</v>
      </c>
      <c r="M7" s="88">
        <f>C31+C32+C33+C34+C35+C36+C37+C38</f>
        <v>104.25842903953618</v>
      </c>
      <c r="N7" s="78"/>
    </row>
    <row r="8" spans="1:53" x14ac:dyDescent="0.25">
      <c r="A8" s="78"/>
      <c r="B8" s="16" t="s">
        <v>24</v>
      </c>
      <c r="C8" s="82">
        <v>6.02</v>
      </c>
      <c r="D8" s="13" t="s">
        <v>25</v>
      </c>
      <c r="E8" s="84">
        <v>0.11752404851526557</v>
      </c>
      <c r="F8" s="85">
        <f>E8*H$4</f>
        <v>4.9672431526508951E-2</v>
      </c>
      <c r="G8" s="17" t="s">
        <v>26</v>
      </c>
      <c r="H8" s="18">
        <v>0.74</v>
      </c>
      <c r="L8" s="8" t="s">
        <v>27</v>
      </c>
      <c r="M8" s="88">
        <f>(M$6+E21*0.145*0.8*0.8)</f>
        <v>109.17969013146677</v>
      </c>
      <c r="N8" s="78"/>
    </row>
    <row r="9" spans="1:53" x14ac:dyDescent="0.25">
      <c r="A9" s="78"/>
      <c r="B9" s="19" t="s">
        <v>28</v>
      </c>
      <c r="C9" s="82"/>
      <c r="D9" s="20" t="s">
        <v>29</v>
      </c>
      <c r="E9" s="84">
        <v>0</v>
      </c>
      <c r="F9" s="85">
        <f>E9*H$5</f>
        <v>0</v>
      </c>
      <c r="G9" s="17" t="s">
        <v>30</v>
      </c>
      <c r="H9" s="18">
        <v>0.66</v>
      </c>
      <c r="L9" s="8" t="s">
        <v>31</v>
      </c>
      <c r="M9" s="14"/>
      <c r="N9" s="78"/>
    </row>
    <row r="10" spans="1:53" x14ac:dyDescent="0.25">
      <c r="A10" s="78"/>
      <c r="B10" s="19" t="s">
        <v>32</v>
      </c>
      <c r="C10" s="82"/>
      <c r="D10" s="20" t="s">
        <v>33</v>
      </c>
      <c r="E10" s="84">
        <v>0.51647802712839297</v>
      </c>
      <c r="F10" s="85">
        <f>E10*H$5</f>
        <v>0.2981846670749469</v>
      </c>
      <c r="G10" s="17" t="s">
        <v>34</v>
      </c>
      <c r="H10" s="18">
        <v>0.77</v>
      </c>
      <c r="L10" s="8" t="s">
        <v>35</v>
      </c>
      <c r="M10" s="14"/>
      <c r="N10" s="78"/>
    </row>
    <row r="11" spans="1:53" x14ac:dyDescent="0.25">
      <c r="A11" s="78"/>
      <c r="B11" s="21" t="s">
        <v>36</v>
      </c>
      <c r="C11" s="82"/>
      <c r="D11" s="20" t="s">
        <v>37</v>
      </c>
      <c r="E11" s="84">
        <v>0.39497112960059083</v>
      </c>
      <c r="F11" s="85">
        <f>E11*H$5</f>
        <v>0.22803358245265676</v>
      </c>
      <c r="G11" s="17" t="s">
        <v>38</v>
      </c>
      <c r="H11" s="18">
        <v>0.56000000000000005</v>
      </c>
      <c r="L11" s="8" t="s">
        <v>39</v>
      </c>
      <c r="M11" s="14"/>
      <c r="N11" s="78"/>
    </row>
    <row r="12" spans="1:53" x14ac:dyDescent="0.25">
      <c r="A12" s="78"/>
      <c r="B12" s="21" t="s">
        <v>40</v>
      </c>
      <c r="C12" s="82">
        <v>0.56999999999999995</v>
      </c>
      <c r="D12" s="20" t="s">
        <v>41</v>
      </c>
      <c r="E12" s="84">
        <v>8.8550843271016186E-2</v>
      </c>
      <c r="F12" s="85">
        <f>E12*H$5</f>
        <v>5.1124156949681393E-2</v>
      </c>
      <c r="G12" s="17" t="s">
        <v>42</v>
      </c>
      <c r="H12" s="18">
        <v>0.53</v>
      </c>
      <c r="L12" s="8" t="s">
        <v>43</v>
      </c>
      <c r="M12" s="87">
        <f>C16</f>
        <v>0.73890660559314447</v>
      </c>
      <c r="N12" s="78"/>
    </row>
    <row r="13" spans="1:53" x14ac:dyDescent="0.25">
      <c r="A13" s="78"/>
      <c r="B13" s="22" t="s">
        <v>44</v>
      </c>
      <c r="C13" s="86">
        <f>(F4*H17+F5*H18+F6*H19+F7*H17+F8*H20+F9*H21+F10*H22+F11*H23+F12*H24)</f>
        <v>0.76834119798768319</v>
      </c>
      <c r="D13" s="24" t="s">
        <v>45</v>
      </c>
      <c r="E13" s="86">
        <f>(C$5*10*(1-H6)-C$6*10-H14)</f>
        <v>-96.295600000000007</v>
      </c>
      <c r="F13" s="85">
        <f>SUM(F4:F12)</f>
        <v>1</v>
      </c>
      <c r="G13" s="18" t="s">
        <v>46</v>
      </c>
      <c r="H13" s="18">
        <v>0.69</v>
      </c>
      <c r="L13" s="8" t="s">
        <v>47</v>
      </c>
      <c r="M13" s="87">
        <f>C15</f>
        <v>824.04890049924325</v>
      </c>
      <c r="N13" s="80"/>
    </row>
    <row r="14" spans="1:53" x14ac:dyDescent="0.25">
      <c r="A14" s="78"/>
      <c r="B14" s="23" t="s">
        <v>48</v>
      </c>
      <c r="C14" s="86">
        <f>1000-C8*10</f>
        <v>939.8</v>
      </c>
      <c r="D14" s="24" t="s">
        <v>49</v>
      </c>
      <c r="E14" s="86">
        <f>(C$5*10*(1-H7)-C$6*10-H15)</f>
        <v>-127.4436</v>
      </c>
      <c r="F14" s="63" t="s">
        <v>149</v>
      </c>
      <c r="G14" s="18" t="s">
        <v>50</v>
      </c>
      <c r="H14" s="18">
        <v>85.65</v>
      </c>
      <c r="L14" s="8" t="s">
        <v>51</v>
      </c>
      <c r="M14" s="87">
        <f>C6*10</f>
        <v>58.6</v>
      </c>
      <c r="N14" s="78"/>
    </row>
    <row r="15" spans="1:53" x14ac:dyDescent="0.25">
      <c r="A15" s="78"/>
      <c r="B15" s="23" t="s">
        <v>52</v>
      </c>
      <c r="C15" s="86">
        <f>(C5*10*C13+C10*10*C9+(C14-C5*10-C10*10)*0.9)</f>
        <v>824.04890049924325</v>
      </c>
      <c r="D15" s="24" t="s">
        <v>53</v>
      </c>
      <c r="E15" s="86">
        <f>(-C$5*10*(1-H8)-C$6*10-H16)</f>
        <v>-205.04360000000003</v>
      </c>
      <c r="F15" s="63"/>
      <c r="G15" s="18" t="s">
        <v>54</v>
      </c>
      <c r="H15" s="18">
        <v>108.53</v>
      </c>
      <c r="L15" s="8" t="s">
        <v>55</v>
      </c>
      <c r="M15" s="87">
        <f>C7*10</f>
        <v>151.30000000000001</v>
      </c>
      <c r="N15" s="78"/>
    </row>
    <row r="16" spans="1:53" x14ac:dyDescent="0.25">
      <c r="A16" s="78"/>
      <c r="B16" s="22" t="s">
        <v>43</v>
      </c>
      <c r="C16" s="86">
        <f>IF(C12&gt;0,((((0.459*C12*100+40.5)*(F4+E6+E7)/100)+((0.459*C12*100+34)*F5)/100+((0.626*C12*100+23)*F8)/100+((0.699*C12*100+22.6)*H5)/100)),C15/C14)</f>
        <v>0.73890660559314447</v>
      </c>
      <c r="D16" s="24" t="s">
        <v>56</v>
      </c>
      <c r="E16" s="86">
        <f>(C$5*10*(1-H9)-C$6*10)</f>
        <v>-2.377600000000001</v>
      </c>
      <c r="F16" s="63"/>
      <c r="G16" s="18" t="s">
        <v>57</v>
      </c>
      <c r="H16" s="18">
        <v>103.45</v>
      </c>
      <c r="L16" s="8" t="s">
        <v>58</v>
      </c>
      <c r="M16" s="9" t="str">
        <f>IF(C10="","",C10*10)</f>
        <v/>
      </c>
      <c r="N16" s="81"/>
    </row>
    <row r="17" spans="1:14" x14ac:dyDescent="0.25">
      <c r="A17" s="78"/>
      <c r="B17" s="23" t="s">
        <v>59</v>
      </c>
      <c r="C17" s="86">
        <f>(C5*10*1000)/(1000-C8*10)</f>
        <v>175.95233028303895</v>
      </c>
      <c r="D17" s="24" t="s">
        <v>60</v>
      </c>
      <c r="E17" s="86">
        <f>(C$5*10*(1-H10)-C$6*10)</f>
        <v>-20.5672</v>
      </c>
      <c r="F17" s="63"/>
      <c r="G17" s="18" t="s">
        <v>61</v>
      </c>
      <c r="H17" s="18">
        <v>0.7</v>
      </c>
      <c r="L17" s="8" t="s">
        <v>62</v>
      </c>
      <c r="M17" s="9" t="str">
        <f>IF(C11="","",C11*10)</f>
        <v/>
      </c>
      <c r="N17" s="80"/>
    </row>
    <row r="18" spans="1:14" x14ac:dyDescent="0.25">
      <c r="A18" s="78"/>
      <c r="B18" s="23" t="s">
        <v>63</v>
      </c>
      <c r="C18" s="86">
        <f>(C7*10*1000)/(1000-C8*10)</f>
        <v>160.99170036177912</v>
      </c>
      <c r="D18" s="24" t="s">
        <v>64</v>
      </c>
      <c r="E18" s="86">
        <f>(C$5*10*(1-H11)-C$6*10)</f>
        <v>14.158399999999993</v>
      </c>
      <c r="F18" s="63"/>
      <c r="G18" s="18" t="s">
        <v>65</v>
      </c>
      <c r="H18" s="18">
        <v>0.56000000000000005</v>
      </c>
      <c r="L18" s="8" t="s">
        <v>66</v>
      </c>
      <c r="M18" s="14"/>
      <c r="N18" s="78"/>
    </row>
    <row r="19" spans="1:14" x14ac:dyDescent="0.25">
      <c r="A19" s="78"/>
      <c r="B19" s="23" t="s">
        <v>67</v>
      </c>
      <c r="C19" s="86">
        <f>10000*C6/C14</f>
        <v>62.353692274952124</v>
      </c>
      <c r="D19" s="24" t="s">
        <v>68</v>
      </c>
      <c r="E19" s="86">
        <f>(C$5*10*(1-H12)-C$6*10)</f>
        <v>19.119199999999999</v>
      </c>
      <c r="F19" s="63"/>
      <c r="G19" s="18" t="s">
        <v>69</v>
      </c>
      <c r="H19" s="18">
        <v>0.62</v>
      </c>
      <c r="L19" s="8" t="s">
        <v>70</v>
      </c>
      <c r="M19" s="14"/>
      <c r="N19" s="78"/>
    </row>
    <row r="20" spans="1:14" x14ac:dyDescent="0.25">
      <c r="A20" s="78"/>
      <c r="B20" s="23" t="s">
        <v>71</v>
      </c>
      <c r="C20" s="86">
        <f>(4487+2.019*C17)*F4</f>
        <v>1271.1083158525964</v>
      </c>
      <c r="D20" s="24" t="s">
        <v>72</v>
      </c>
      <c r="E20" s="86">
        <f>(C$5*10*(1-H13)-C$6*10)</f>
        <v>-7.3383999999999858</v>
      </c>
      <c r="F20" s="63"/>
      <c r="G20" s="18" t="s">
        <v>73</v>
      </c>
      <c r="H20" s="18">
        <v>0.72</v>
      </c>
      <c r="L20" s="8" t="s">
        <v>74</v>
      </c>
      <c r="M20" s="87">
        <f>C8*10</f>
        <v>60.199999999999996</v>
      </c>
      <c r="N20" s="78"/>
    </row>
    <row r="21" spans="1:14" x14ac:dyDescent="0.25">
      <c r="A21" s="78"/>
      <c r="B21" s="23" t="s">
        <v>75</v>
      </c>
      <c r="C21" s="86">
        <f>((3910+2.45*C17)*C14/1000)*(F5+F6+F7)</f>
        <v>450.73643798993515</v>
      </c>
      <c r="D21" s="25" t="s">
        <v>76</v>
      </c>
      <c r="E21" s="86">
        <f>C15-E13+E14+E15+E16+E17+E18+E19+E20</f>
        <v>590.85170049924341</v>
      </c>
      <c r="F21" s="63"/>
      <c r="G21" s="18" t="s">
        <v>77</v>
      </c>
      <c r="H21" s="18">
        <v>0.89</v>
      </c>
      <c r="L21" s="8" t="s">
        <v>78</v>
      </c>
      <c r="M21" s="14"/>
      <c r="N21" s="78"/>
    </row>
    <row r="22" spans="1:14" x14ac:dyDescent="0.25">
      <c r="A22" s="78"/>
      <c r="B22" s="23" t="s">
        <v>79</v>
      </c>
      <c r="C22" s="86">
        <f>((4531+1.735*C17)*C14/1000)*F8</f>
        <v>225.76782759034884</v>
      </c>
      <c r="D22" s="26" t="s">
        <v>80</v>
      </c>
      <c r="E22" s="86">
        <f>(C$5*10*(1-H6)*1.11*H17)*(F4+F7)</f>
        <v>9.781039974198622</v>
      </c>
      <c r="F22" s="63"/>
      <c r="G22" s="18" t="s">
        <v>81</v>
      </c>
      <c r="H22" s="18">
        <v>0.84</v>
      </c>
      <c r="K22" s="27"/>
      <c r="L22" s="8" t="s">
        <v>82</v>
      </c>
      <c r="M22" s="14"/>
      <c r="N22" s="78"/>
    </row>
    <row r="23" spans="1:14" x14ac:dyDescent="0.25">
      <c r="A23" s="78"/>
      <c r="B23" s="23" t="s">
        <v>83</v>
      </c>
      <c r="C23" s="86">
        <f>(5.7*C5*10+9.57*C6*10+4.24*((C14-C5*10-C6*10)))*H5</f>
        <v>2620.2775183386998</v>
      </c>
      <c r="D23" s="26" t="s">
        <v>84</v>
      </c>
      <c r="E23" s="86">
        <f>(C$5*10*(1-H7)*1.11*H18)*F5</f>
        <v>0</v>
      </c>
      <c r="F23" s="63"/>
      <c r="G23" s="18" t="s">
        <v>85</v>
      </c>
      <c r="H23" s="18">
        <v>0.86</v>
      </c>
      <c r="L23" s="8" t="s">
        <v>86</v>
      </c>
      <c r="M23" s="14"/>
      <c r="N23" s="78"/>
    </row>
    <row r="24" spans="1:14" x14ac:dyDescent="0.25">
      <c r="A24" s="78"/>
      <c r="B24" s="23" t="s">
        <v>87</v>
      </c>
      <c r="C24" s="86">
        <f>C20+C21+C22+C23</f>
        <v>4567.89009977158</v>
      </c>
      <c r="D24" s="26" t="s">
        <v>88</v>
      </c>
      <c r="E24" s="86">
        <f>(C$5*10*(1-H8)*1.11*H19)*F6</f>
        <v>3.2689448753562256</v>
      </c>
      <c r="F24" s="63"/>
      <c r="G24" s="18" t="s">
        <v>89</v>
      </c>
      <c r="H24" s="18">
        <v>0.66</v>
      </c>
      <c r="J24" s="28"/>
      <c r="L24" s="8" t="s">
        <v>90</v>
      </c>
      <c r="M24" s="14"/>
      <c r="N24" s="78"/>
    </row>
    <row r="25" spans="1:14" x14ac:dyDescent="0.25">
      <c r="A25" s="78"/>
      <c r="B25" s="23" t="s">
        <v>91</v>
      </c>
      <c r="C25" s="86">
        <f>(F4*(0.9965*C16-0.0235)+(F7+F5+F6)*(1.0263*C16-0.05723)+F8*(0.985*C16-0.02556)+H5*(1.0035*C16-0.0108))</f>
        <v>0.72132068137479799</v>
      </c>
      <c r="D25" s="26" t="s">
        <v>92</v>
      </c>
      <c r="E25" s="86">
        <f>(C$5*10*(1-H9)*1.11*H20)*F8</f>
        <v>2.2319284887533928</v>
      </c>
      <c r="F25" s="29"/>
      <c r="G25" s="29"/>
      <c r="H25" s="29"/>
      <c r="I25" s="30"/>
      <c r="J25" s="30"/>
      <c r="K25" s="31"/>
      <c r="L25" s="8" t="s">
        <v>93</v>
      </c>
      <c r="M25" s="14"/>
      <c r="N25" s="78"/>
    </row>
    <row r="26" spans="1:14" x14ac:dyDescent="0.25">
      <c r="A26" s="78"/>
      <c r="B26" s="23" t="s">
        <v>94</v>
      </c>
      <c r="C26" s="86">
        <f>C24*C25</f>
        <v>3294.9135992124302</v>
      </c>
      <c r="D26" s="26" t="s">
        <v>95</v>
      </c>
      <c r="E26" s="86">
        <f>(C$5*10*(1-H10)*1.11*H21)*F9</f>
        <v>0</v>
      </c>
      <c r="F26" s="29"/>
      <c r="G26" s="29"/>
      <c r="H26" s="29"/>
      <c r="I26" s="30"/>
      <c r="J26" s="30"/>
      <c r="K26" s="31"/>
      <c r="L26" s="8" t="s">
        <v>96</v>
      </c>
      <c r="M26" s="14"/>
      <c r="N26" s="78"/>
    </row>
    <row r="27" spans="1:14" x14ac:dyDescent="0.25">
      <c r="A27" s="78"/>
      <c r="B27" s="23" t="s">
        <v>97</v>
      </c>
      <c r="C27" s="86">
        <f>C26*(86.82-0.0099*C18-0.0196*C17)/100</f>
        <v>2694.4985120217884</v>
      </c>
      <c r="D27" s="26" t="s">
        <v>98</v>
      </c>
      <c r="E27" s="86">
        <f>(C$5*10*(1-H11)*1.11*H22)*F10</f>
        <v>20.228827585516584</v>
      </c>
      <c r="F27" s="29"/>
      <c r="G27" s="29"/>
      <c r="H27" s="29"/>
      <c r="I27" s="30"/>
      <c r="J27" s="30"/>
      <c r="K27" s="31"/>
      <c r="L27" s="8" t="s">
        <v>99</v>
      </c>
      <c r="M27" s="14"/>
      <c r="N27" s="78"/>
    </row>
    <row r="28" spans="1:14" x14ac:dyDescent="0.25">
      <c r="A28" s="78"/>
      <c r="B28" s="23" t="s">
        <v>100</v>
      </c>
      <c r="C28" s="86">
        <f>C26*(84.17-0.0099*C18-0.0196*C17+2.21*1.95)/100</f>
        <v>2749.1776032007187</v>
      </c>
      <c r="D28" s="26" t="s">
        <v>101</v>
      </c>
      <c r="E28" s="86">
        <f>(C$5*10*(1-H12)*1.11*H23)*F11</f>
        <v>16.917982124253029</v>
      </c>
      <c r="F28" s="29"/>
      <c r="G28" s="29"/>
      <c r="H28" s="29"/>
      <c r="I28" s="30"/>
      <c r="J28" s="30"/>
      <c r="K28" s="31"/>
      <c r="L28" s="8" t="s">
        <v>102</v>
      </c>
      <c r="M28" s="14"/>
      <c r="N28" s="78"/>
    </row>
    <row r="29" spans="1:14" x14ac:dyDescent="0.25">
      <c r="A29" s="78"/>
      <c r="B29" s="23" t="s">
        <v>103</v>
      </c>
      <c r="C29" s="86">
        <f>(C27*H5+C28*(100-H5))/100</f>
        <v>2748.8619176198663</v>
      </c>
      <c r="D29" s="26" t="s">
        <v>104</v>
      </c>
      <c r="E29" s="86">
        <f>(C$5*10*(1-H13)*1.11*H24)*F12</f>
        <v>1.9199292770591243</v>
      </c>
      <c r="F29" s="29"/>
      <c r="G29" s="29"/>
      <c r="H29" s="29"/>
      <c r="I29" s="30"/>
      <c r="J29" s="30"/>
      <c r="K29" s="31"/>
      <c r="L29" s="8" t="s">
        <v>105</v>
      </c>
      <c r="M29" s="14"/>
      <c r="N29" s="78"/>
    </row>
    <row r="30" spans="1:14" x14ac:dyDescent="0.25">
      <c r="A30" s="78"/>
      <c r="B30" s="23" t="s">
        <v>106</v>
      </c>
      <c r="C30" s="86">
        <f>C29*(0.6+0.24*((C29/C24)-0.57))</f>
        <v>1670.2828388411972</v>
      </c>
      <c r="D30" s="77"/>
      <c r="E30" s="78"/>
      <c r="F30" s="29"/>
      <c r="G30" s="29"/>
      <c r="H30" s="29"/>
      <c r="I30" s="30"/>
      <c r="J30" s="30"/>
      <c r="K30" s="31"/>
      <c r="L30" s="8" t="s">
        <v>107</v>
      </c>
      <c r="M30" s="14"/>
      <c r="N30" s="78"/>
    </row>
    <row r="31" spans="1:14" x14ac:dyDescent="0.25">
      <c r="A31" s="78"/>
      <c r="B31" s="23" t="s">
        <v>108</v>
      </c>
      <c r="C31" s="86">
        <f>(M$6+C$5*10*(1-1.11*(1-H6))*0.9*0.8*0.8)*(F4+F7)</f>
        <v>31.221119375242512</v>
      </c>
      <c r="D31" s="32"/>
      <c r="E31" s="32"/>
      <c r="F31" s="29"/>
      <c r="G31" s="29"/>
      <c r="H31" s="29"/>
      <c r="I31" s="30"/>
      <c r="J31" s="30"/>
      <c r="K31" s="31"/>
      <c r="L31" s="8" t="s">
        <v>109</v>
      </c>
      <c r="M31" s="14"/>
      <c r="N31" s="78"/>
    </row>
    <row r="32" spans="1:14" x14ac:dyDescent="0.25">
      <c r="A32" s="78"/>
      <c r="B32" s="23" t="s">
        <v>110</v>
      </c>
      <c r="C32" s="86">
        <f>(M$6+C$5*10*(1-1.11*(1-H7))*0.9*0.8*0.8)*(F5)</f>
        <v>0</v>
      </c>
      <c r="D32" s="32"/>
      <c r="E32" s="32"/>
      <c r="F32" s="29"/>
      <c r="G32" s="29"/>
      <c r="H32" s="29"/>
      <c r="I32" s="30"/>
      <c r="J32" s="30"/>
      <c r="K32" s="31"/>
      <c r="L32" s="8" t="s">
        <v>111</v>
      </c>
      <c r="M32" s="14"/>
      <c r="N32" s="78"/>
    </row>
    <row r="33" spans="1:14" x14ac:dyDescent="0.25">
      <c r="A33" s="78"/>
      <c r="B33" s="23" t="s">
        <v>112</v>
      </c>
      <c r="C33" s="86">
        <f>(M$6+C$5*10*(1-1.11*(1-H8))*0.9*0.8*0.8)*(F6)</f>
        <v>13.490619669453942</v>
      </c>
      <c r="D33" s="32"/>
      <c r="E33" s="32"/>
      <c r="F33" s="29"/>
      <c r="G33" s="29"/>
      <c r="H33" s="29"/>
      <c r="I33" s="30"/>
      <c r="J33" s="30"/>
      <c r="K33" s="31"/>
      <c r="L33" s="8" t="s">
        <v>113</v>
      </c>
      <c r="M33" s="14"/>
      <c r="N33" s="78"/>
    </row>
    <row r="34" spans="1:14" x14ac:dyDescent="0.25">
      <c r="A34" s="78"/>
      <c r="B34" s="23" t="s">
        <v>114</v>
      </c>
      <c r="C34" s="86">
        <f>(M$6+C$5*10*(1-1.11*(1-H9))*0.9*0.8*0.8)*(F8)/100</f>
        <v>5.6452548878564421E-2</v>
      </c>
      <c r="D34" s="32"/>
      <c r="E34" s="32"/>
      <c r="F34" s="29"/>
      <c r="G34" s="29"/>
      <c r="H34" s="29"/>
      <c r="I34" s="30"/>
      <c r="L34" s="8" t="s">
        <v>115</v>
      </c>
      <c r="M34" s="14"/>
      <c r="N34" s="78"/>
    </row>
    <row r="35" spans="1:14" x14ac:dyDescent="0.25">
      <c r="A35" s="78"/>
      <c r="B35" s="23" t="s">
        <v>116</v>
      </c>
      <c r="C35" s="86">
        <f>(M$6+C$5*10*(1-1.11*(1-H10))*0.9*0.8*0.8)*(F9)</f>
        <v>0</v>
      </c>
      <c r="D35" s="32"/>
      <c r="E35" s="32"/>
      <c r="F35" s="29"/>
      <c r="G35" s="29"/>
      <c r="H35" s="29"/>
      <c r="I35" s="30"/>
      <c r="L35" s="8" t="s">
        <v>117</v>
      </c>
      <c r="M35" s="14"/>
      <c r="N35" s="78"/>
    </row>
    <row r="36" spans="1:14" x14ac:dyDescent="0.25">
      <c r="A36" s="78"/>
      <c r="B36" s="23" t="s">
        <v>118</v>
      </c>
      <c r="C36" s="86">
        <f>(M$6+C$5*10*(1-1.11*(1-H11))*0.9*0.8*0.8)*(F10)</f>
        <v>30.736041072270687</v>
      </c>
      <c r="D36" s="32"/>
      <c r="E36" s="32"/>
      <c r="F36" s="29"/>
      <c r="G36" s="29"/>
      <c r="H36" s="29"/>
      <c r="I36" s="30"/>
      <c r="L36" s="8" t="s">
        <v>119</v>
      </c>
      <c r="M36" s="14"/>
      <c r="N36" s="78"/>
    </row>
    <row r="37" spans="1:14" x14ac:dyDescent="0.25">
      <c r="A37" s="78"/>
      <c r="B37" s="23" t="s">
        <v>120</v>
      </c>
      <c r="C37" s="86">
        <f>(M$6+C$5*10*(1-1.11*(1-H12))*0.9*0.8*0.8)*(F11)</f>
        <v>22.781801002330756</v>
      </c>
      <c r="D37" s="32"/>
      <c r="E37" s="32"/>
      <c r="F37" s="29"/>
      <c r="G37" s="29"/>
      <c r="H37" s="29"/>
      <c r="I37" s="30"/>
      <c r="L37" s="8" t="s">
        <v>121</v>
      </c>
      <c r="M37" s="14"/>
      <c r="N37" s="78"/>
    </row>
    <row r="38" spans="1:14" x14ac:dyDescent="0.25">
      <c r="A38" s="78"/>
      <c r="B38" s="33" t="s">
        <v>122</v>
      </c>
      <c r="C38" s="86">
        <f>(M$6+C$5*10*(1-1.11*(1-H13))*0.9*0.8*0.8)*(F12)</f>
        <v>5.9723953713597222</v>
      </c>
      <c r="D38" s="32"/>
      <c r="E38" s="32"/>
      <c r="F38" s="29"/>
      <c r="G38" s="29"/>
      <c r="H38" s="29"/>
      <c r="I38" s="30"/>
      <c r="L38" s="8" t="s">
        <v>123</v>
      </c>
      <c r="M38" s="14"/>
      <c r="N38" s="78"/>
    </row>
    <row r="39" spans="1:14" x14ac:dyDescent="0.25">
      <c r="A39" s="78"/>
      <c r="B39" s="78"/>
      <c r="C39" s="78"/>
      <c r="D39" s="78"/>
      <c r="E39" s="78"/>
      <c r="F39" s="79"/>
      <c r="G39" s="79"/>
      <c r="H39" s="79"/>
      <c r="I39" s="79"/>
      <c r="J39" s="78"/>
      <c r="K39" s="78"/>
      <c r="L39" s="78"/>
      <c r="M39" s="78"/>
      <c r="N39" s="78"/>
    </row>
    <row r="40" spans="1:14" x14ac:dyDescent="0.25">
      <c r="B40" s="34"/>
      <c r="C40" s="2"/>
      <c r="D40" s="2"/>
      <c r="E40" s="2"/>
      <c r="F40" s="31"/>
      <c r="G40" s="31"/>
      <c r="H40" s="31"/>
      <c r="I40" s="31"/>
      <c r="J40" s="2"/>
    </row>
    <row r="41" spans="1:14" x14ac:dyDescent="0.25">
      <c r="B41" s="34"/>
      <c r="C41" s="2"/>
      <c r="D41" s="2"/>
      <c r="E41" s="2"/>
      <c r="F41" s="31"/>
      <c r="G41" s="31"/>
      <c r="H41" s="31"/>
      <c r="I41" s="31"/>
      <c r="J41" s="2"/>
    </row>
    <row r="42" spans="1:14" x14ac:dyDescent="0.25">
      <c r="B42" s="2"/>
      <c r="C42" s="2"/>
      <c r="D42" s="2"/>
      <c r="E42" s="2"/>
      <c r="F42" s="31"/>
      <c r="G42" s="31"/>
      <c r="H42" s="31"/>
      <c r="I42" s="31"/>
      <c r="J42" s="35"/>
    </row>
    <row r="43" spans="1:14" x14ac:dyDescent="0.25">
      <c r="B43" s="35"/>
      <c r="C43" s="35"/>
      <c r="D43" s="35"/>
      <c r="E43" s="35"/>
      <c r="F43" s="36"/>
      <c r="G43" s="36"/>
      <c r="H43" s="36"/>
      <c r="I43" s="36"/>
      <c r="J43" s="35"/>
    </row>
    <row r="44" spans="1:14" x14ac:dyDescent="0.25">
      <c r="B44" s="35"/>
      <c r="C44" s="35"/>
      <c r="D44" s="35"/>
      <c r="E44" s="35"/>
      <c r="F44" s="36"/>
      <c r="G44" s="36"/>
      <c r="H44" s="36"/>
      <c r="I44" s="36"/>
      <c r="J44" s="35"/>
    </row>
    <row r="45" spans="1:14" x14ac:dyDescent="0.25">
      <c r="B45" s="35"/>
      <c r="C45" s="35"/>
      <c r="D45" s="35"/>
      <c r="E45" s="35"/>
      <c r="F45" s="36"/>
      <c r="G45" s="36"/>
      <c r="H45" s="36"/>
      <c r="I45" s="36"/>
      <c r="J45" s="35"/>
    </row>
    <row r="46" spans="1:14" x14ac:dyDescent="0.25">
      <c r="B46" s="35"/>
      <c r="C46" s="35"/>
      <c r="D46" s="35"/>
      <c r="E46" s="35"/>
      <c r="F46" s="36"/>
      <c r="G46" s="36"/>
      <c r="H46" s="36"/>
      <c r="I46" s="36"/>
      <c r="J46" s="35"/>
    </row>
    <row r="47" spans="1:14" x14ac:dyDescent="0.25">
      <c r="B47" s="35"/>
      <c r="C47" s="35"/>
      <c r="D47" s="35"/>
      <c r="E47" s="35"/>
      <c r="F47" s="36"/>
      <c r="G47" s="36"/>
      <c r="H47" s="36"/>
      <c r="I47" s="36"/>
      <c r="J47" s="35"/>
    </row>
    <row r="48" spans="1:14" x14ac:dyDescent="0.25">
      <c r="B48" s="35"/>
      <c r="C48" s="35"/>
      <c r="D48" s="35"/>
      <c r="E48" s="35"/>
      <c r="F48" s="36"/>
      <c r="G48" s="36"/>
      <c r="H48" s="36"/>
      <c r="I48" s="36"/>
      <c r="J48" s="35"/>
    </row>
    <row r="49" spans="2:10" x14ac:dyDescent="0.25">
      <c r="B49" s="35"/>
      <c r="C49" s="35"/>
      <c r="D49" s="35"/>
      <c r="E49" s="35"/>
      <c r="F49" s="36"/>
      <c r="G49" s="36"/>
      <c r="H49" s="36"/>
      <c r="I49" s="36"/>
      <c r="J49" s="35"/>
    </row>
    <row r="50" spans="2:10" x14ac:dyDescent="0.25">
      <c r="B50" s="35"/>
      <c r="C50" s="35"/>
      <c r="D50" s="35"/>
      <c r="E50" s="35"/>
      <c r="F50" s="36"/>
      <c r="G50" s="36"/>
      <c r="H50" s="36"/>
      <c r="I50" s="36"/>
      <c r="J50" s="35"/>
    </row>
    <row r="51" spans="2:10" x14ac:dyDescent="0.25">
      <c r="B51" s="35"/>
      <c r="C51" s="35"/>
      <c r="D51" s="35"/>
      <c r="E51" s="35"/>
      <c r="F51" s="36"/>
      <c r="G51" s="36"/>
      <c r="H51" s="36"/>
      <c r="I51" s="36"/>
      <c r="J51" s="35"/>
    </row>
    <row r="52" spans="2:10" x14ac:dyDescent="0.25">
      <c r="B52" s="35"/>
      <c r="C52" s="35"/>
      <c r="D52" s="35"/>
      <c r="E52" s="35"/>
      <c r="F52" s="36"/>
      <c r="G52" s="36"/>
      <c r="H52" s="36"/>
      <c r="I52" s="36"/>
      <c r="J52" s="35"/>
    </row>
    <row r="53" spans="2:10" x14ac:dyDescent="0.25">
      <c r="B53" s="35"/>
      <c r="C53" s="35"/>
      <c r="D53" s="35"/>
      <c r="E53" s="35"/>
      <c r="F53" s="36"/>
      <c r="G53" s="36"/>
      <c r="H53" s="36"/>
      <c r="I53" s="36"/>
      <c r="J53" s="35"/>
    </row>
    <row r="54" spans="2:10" x14ac:dyDescent="0.25">
      <c r="B54" s="35"/>
      <c r="C54" s="35"/>
      <c r="D54" s="35"/>
      <c r="E54" s="35"/>
      <c r="F54" s="36"/>
      <c r="G54" s="36"/>
      <c r="H54" s="36"/>
      <c r="I54" s="36"/>
      <c r="J54" s="35"/>
    </row>
    <row r="55" spans="2:10" x14ac:dyDescent="0.25">
      <c r="B55" s="35"/>
      <c r="C55" s="35"/>
      <c r="D55" s="35"/>
      <c r="E55" s="35"/>
      <c r="F55" s="36"/>
      <c r="G55" s="36"/>
      <c r="H55" s="36"/>
      <c r="I55" s="36"/>
      <c r="J55" s="35"/>
    </row>
    <row r="56" spans="2:10" x14ac:dyDescent="0.25">
      <c r="B56" s="35"/>
      <c r="C56" s="35"/>
      <c r="D56" s="35"/>
      <c r="E56" s="35"/>
      <c r="F56" s="36"/>
      <c r="G56" s="36"/>
      <c r="H56" s="36"/>
      <c r="I56" s="36"/>
      <c r="J56" s="35"/>
    </row>
    <row r="57" spans="2:10" x14ac:dyDescent="0.25">
      <c r="B57" s="35"/>
      <c r="C57" s="35"/>
      <c r="D57" s="35"/>
      <c r="E57" s="35"/>
      <c r="F57" s="36"/>
      <c r="G57" s="36"/>
      <c r="H57" s="36"/>
      <c r="I57" s="36"/>
      <c r="J57" s="35"/>
    </row>
    <row r="58" spans="2:10" x14ac:dyDescent="0.25">
      <c r="B58" s="35"/>
      <c r="C58" s="35"/>
      <c r="D58" s="35"/>
      <c r="E58" s="35"/>
      <c r="F58" s="36"/>
      <c r="G58" s="36"/>
      <c r="H58" s="36"/>
      <c r="I58" s="36"/>
      <c r="J58" s="35"/>
    </row>
    <row r="59" spans="2:10" x14ac:dyDescent="0.25">
      <c r="B59" s="35"/>
      <c r="C59" s="35"/>
      <c r="D59" s="35"/>
      <c r="E59" s="35"/>
      <c r="F59" s="35"/>
      <c r="G59" s="35"/>
      <c r="H59" s="35"/>
      <c r="I59" s="35"/>
      <c r="J59" s="35"/>
    </row>
    <row r="60" spans="2:10" x14ac:dyDescent="0.25">
      <c r="B60" s="35"/>
      <c r="C60" s="35"/>
      <c r="D60" s="35"/>
      <c r="E60" s="35"/>
      <c r="F60" s="35"/>
      <c r="G60" s="35"/>
      <c r="H60" s="35"/>
      <c r="I60" s="35"/>
      <c r="J60" s="35"/>
    </row>
    <row r="61" spans="2:10" x14ac:dyDescent="0.25">
      <c r="B61" s="35"/>
      <c r="C61" s="35"/>
      <c r="D61" s="35"/>
      <c r="E61" s="35"/>
      <c r="F61" s="35"/>
      <c r="G61" s="36"/>
      <c r="H61" s="36"/>
      <c r="I61" s="36"/>
      <c r="J61" s="35"/>
    </row>
    <row r="62" spans="2:10" x14ac:dyDescent="0.25">
      <c r="B62" s="35"/>
      <c r="C62" s="35"/>
      <c r="D62" s="35"/>
      <c r="E62" s="35"/>
      <c r="F62" s="35"/>
      <c r="G62" s="36"/>
      <c r="H62" s="36"/>
      <c r="I62" s="36"/>
      <c r="J62" s="35"/>
    </row>
    <row r="63" spans="2:10" x14ac:dyDescent="0.25">
      <c r="B63" s="35"/>
      <c r="C63" s="35"/>
      <c r="D63" s="35"/>
      <c r="E63" s="35"/>
      <c r="F63" s="35"/>
      <c r="G63" s="36"/>
      <c r="H63" s="36"/>
      <c r="I63" s="36"/>
      <c r="J63" s="35"/>
    </row>
    <row r="64" spans="2:10" x14ac:dyDescent="0.25">
      <c r="B64" s="35"/>
      <c r="C64" s="35"/>
      <c r="D64" s="35"/>
      <c r="E64" s="35"/>
      <c r="F64" s="35"/>
      <c r="G64" s="36"/>
      <c r="H64" s="36"/>
      <c r="I64" s="36"/>
      <c r="J64" s="35"/>
    </row>
    <row r="65" spans="2:10" x14ac:dyDescent="0.25">
      <c r="B65" s="35"/>
      <c r="C65" s="35"/>
      <c r="D65" s="35"/>
      <c r="E65" s="35"/>
      <c r="F65" s="35"/>
      <c r="G65" s="36"/>
      <c r="H65" s="36"/>
      <c r="I65" s="36"/>
      <c r="J65" s="35"/>
    </row>
    <row r="66" spans="2:10" x14ac:dyDescent="0.25">
      <c r="B66" s="35"/>
      <c r="C66" s="35"/>
      <c r="D66" s="35"/>
      <c r="E66" s="35"/>
      <c r="F66" s="35"/>
      <c r="G66" s="36"/>
      <c r="H66" s="36"/>
      <c r="I66" s="36"/>
      <c r="J66" s="35"/>
    </row>
    <row r="67" spans="2:10" x14ac:dyDescent="0.25">
      <c r="B67" s="35"/>
      <c r="C67" s="35"/>
      <c r="D67" s="35"/>
      <c r="E67" s="35"/>
      <c r="F67" s="35"/>
      <c r="G67" s="36"/>
      <c r="H67" s="36"/>
      <c r="I67" s="36"/>
      <c r="J67" s="35"/>
    </row>
    <row r="68" spans="2:10" x14ac:dyDescent="0.25">
      <c r="B68" s="35"/>
      <c r="C68" s="35"/>
      <c r="D68" s="35"/>
      <c r="E68" s="35"/>
      <c r="F68" s="35"/>
      <c r="G68" s="36"/>
      <c r="H68" s="36"/>
      <c r="I68" s="36"/>
      <c r="J68" s="35"/>
    </row>
    <row r="69" spans="2:10" x14ac:dyDescent="0.25">
      <c r="B69" s="35"/>
      <c r="C69" s="35"/>
      <c r="D69" s="35"/>
      <c r="E69" s="35"/>
      <c r="F69" s="35"/>
      <c r="G69" s="36"/>
      <c r="H69" s="36"/>
      <c r="I69" s="36"/>
      <c r="J69" s="35"/>
    </row>
    <row r="70" spans="2:10" x14ac:dyDescent="0.25">
      <c r="B70" s="35"/>
      <c r="C70" s="35"/>
      <c r="D70" s="35"/>
      <c r="E70" s="35"/>
      <c r="F70" s="35"/>
      <c r="G70" s="36"/>
      <c r="H70" s="36"/>
      <c r="I70" s="36"/>
      <c r="J70" s="35"/>
    </row>
    <row r="71" spans="2:10" x14ac:dyDescent="0.25">
      <c r="B71" s="35"/>
      <c r="C71" s="35"/>
      <c r="D71" s="35"/>
      <c r="E71" s="35"/>
      <c r="F71" s="35"/>
      <c r="G71" s="36"/>
      <c r="H71" s="36"/>
      <c r="I71" s="36"/>
      <c r="J71" s="35"/>
    </row>
    <row r="72" spans="2:10" x14ac:dyDescent="0.25">
      <c r="B72" s="35"/>
      <c r="C72" s="35"/>
      <c r="D72" s="35"/>
      <c r="E72" s="35"/>
      <c r="F72" s="35"/>
      <c r="G72" s="36"/>
      <c r="H72" s="36"/>
      <c r="I72" s="36"/>
      <c r="J72" s="35"/>
    </row>
    <row r="73" spans="2:10" x14ac:dyDescent="0.25">
      <c r="B73" s="36"/>
      <c r="C73" s="36"/>
      <c r="D73" s="36"/>
      <c r="E73" s="36"/>
      <c r="F73" s="36"/>
      <c r="G73" s="36"/>
      <c r="H73" s="36"/>
      <c r="I73" s="36"/>
      <c r="J73" s="35"/>
    </row>
    <row r="74" spans="2:10" x14ac:dyDescent="0.25">
      <c r="B74" s="36"/>
      <c r="C74" s="36"/>
      <c r="D74" s="36"/>
      <c r="E74" s="36"/>
      <c r="F74" s="36"/>
      <c r="G74" s="36"/>
      <c r="H74" s="36"/>
      <c r="I74" s="36"/>
      <c r="J74" s="35"/>
    </row>
    <row r="75" spans="2:10" x14ac:dyDescent="0.25">
      <c r="B75" s="36"/>
      <c r="C75" s="36"/>
      <c r="D75" s="36"/>
      <c r="E75" s="36"/>
      <c r="F75" s="36"/>
      <c r="G75" s="36"/>
      <c r="H75" s="36"/>
      <c r="I75" s="36"/>
      <c r="J75" s="35"/>
    </row>
    <row r="76" spans="2:10" x14ac:dyDescent="0.25">
      <c r="B76" s="36"/>
      <c r="C76" s="36"/>
      <c r="D76" s="36"/>
      <c r="E76" s="36"/>
      <c r="F76" s="36"/>
      <c r="G76" s="36"/>
      <c r="H76" s="36"/>
      <c r="I76" s="36"/>
      <c r="J76" s="35"/>
    </row>
    <row r="77" spans="2:10" x14ac:dyDescent="0.25">
      <c r="B77" s="36"/>
      <c r="C77" s="36"/>
      <c r="D77" s="36"/>
      <c r="E77" s="36"/>
      <c r="F77" s="36"/>
      <c r="G77" s="36"/>
      <c r="H77" s="36"/>
      <c r="I77" s="36"/>
      <c r="J77" s="35"/>
    </row>
    <row r="78" spans="2:10" x14ac:dyDescent="0.25">
      <c r="B78" s="36"/>
      <c r="C78" s="36"/>
      <c r="D78" s="36"/>
      <c r="E78" s="36"/>
      <c r="F78" s="36"/>
      <c r="G78" s="36"/>
      <c r="H78" s="36"/>
      <c r="I78" s="36"/>
      <c r="J78" s="35"/>
    </row>
    <row r="79" spans="2:10" x14ac:dyDescent="0.25">
      <c r="B79" s="36"/>
      <c r="C79" s="36"/>
      <c r="D79" s="36"/>
      <c r="E79" s="36"/>
      <c r="F79" s="36"/>
      <c r="G79" s="36"/>
      <c r="H79" s="36"/>
      <c r="I79" s="36"/>
      <c r="J79" s="35"/>
    </row>
    <row r="80" spans="2:10" x14ac:dyDescent="0.25">
      <c r="B80" s="36"/>
      <c r="C80" s="36"/>
      <c r="D80" s="36"/>
      <c r="E80" s="36"/>
      <c r="F80" s="36"/>
      <c r="G80" s="36"/>
      <c r="H80" s="36"/>
      <c r="I80" s="36"/>
      <c r="J80" s="35"/>
    </row>
    <row r="81" spans="2:10" x14ac:dyDescent="0.25">
      <c r="B81" s="30"/>
      <c r="C81" s="30"/>
      <c r="D81" s="30"/>
      <c r="E81" s="30"/>
      <c r="F81" s="30"/>
      <c r="G81" s="30"/>
      <c r="H81" s="30"/>
      <c r="I81" s="30"/>
      <c r="J81" s="2"/>
    </row>
  </sheetData>
  <sheetProtection password="857E" sheet="1" objects="1" scenarios="1"/>
  <mergeCells count="7">
    <mergeCell ref="G1:H3"/>
    <mergeCell ref="L1:M1"/>
    <mergeCell ref="F14:F24"/>
    <mergeCell ref="B1:C3"/>
    <mergeCell ref="D1:D3"/>
    <mergeCell ref="E1:E3"/>
    <mergeCell ref="F1:F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tabSelected="1" workbookViewId="0">
      <selection activeCell="I37" sqref="I37"/>
    </sheetView>
  </sheetViews>
  <sheetFormatPr baseColWidth="10" defaultRowHeight="15" x14ac:dyDescent="0.25"/>
  <cols>
    <col min="1" max="1" width="7.85546875" style="38" customWidth="1"/>
    <col min="2" max="2" width="28.28515625" style="38" bestFit="1" customWidth="1"/>
    <col min="3" max="4" width="11.42578125" style="38"/>
    <col min="5" max="5" width="28.28515625" style="38" bestFit="1" customWidth="1"/>
    <col min="6" max="8" width="11.42578125" style="38"/>
    <col min="9" max="9" width="18.7109375" style="38" bestFit="1" customWidth="1"/>
    <col min="10" max="10" width="11.42578125" style="38"/>
    <col min="11" max="11" width="16.85546875" style="38" bestFit="1" customWidth="1"/>
    <col min="12" max="12" width="50.5703125" style="38" bestFit="1" customWidth="1"/>
    <col min="13" max="13" width="11.42578125" style="38"/>
    <col min="14" max="29" width="11.42578125" style="37"/>
    <col min="30" max="16384" width="11.42578125" style="38"/>
  </cols>
  <sheetData>
    <row r="1" spans="1:14" x14ac:dyDescent="0.25">
      <c r="A1" s="90"/>
      <c r="B1" s="90"/>
      <c r="C1" s="90"/>
      <c r="D1" s="90"/>
      <c r="E1" s="90"/>
      <c r="F1" s="90"/>
      <c r="G1" s="90"/>
      <c r="H1" s="90"/>
      <c r="I1" s="90"/>
      <c r="J1" s="90"/>
      <c r="K1" s="90"/>
      <c r="L1" s="90"/>
      <c r="M1" s="90"/>
      <c r="N1" s="90"/>
    </row>
    <row r="2" spans="1:14" x14ac:dyDescent="0.25">
      <c r="A2" s="90"/>
      <c r="B2" s="90"/>
      <c r="C2" s="90"/>
      <c r="D2" s="90"/>
      <c r="E2" s="90"/>
      <c r="F2" s="90"/>
      <c r="G2" s="90"/>
      <c r="H2" s="90"/>
      <c r="I2" s="90"/>
      <c r="J2" s="90"/>
      <c r="K2" s="90"/>
      <c r="L2" s="90"/>
      <c r="M2" s="90"/>
      <c r="N2" s="90"/>
    </row>
    <row r="3" spans="1:14" x14ac:dyDescent="0.25">
      <c r="A3" s="90"/>
      <c r="B3" s="90"/>
      <c r="C3" s="90"/>
      <c r="D3" s="90"/>
      <c r="E3" s="90"/>
      <c r="F3" s="90"/>
      <c r="G3" s="90"/>
      <c r="H3" s="90"/>
      <c r="I3" s="90"/>
      <c r="J3" s="90"/>
      <c r="K3" s="90"/>
      <c r="L3" s="90"/>
      <c r="M3" s="90"/>
      <c r="N3" s="90"/>
    </row>
    <row r="4" spans="1:14" x14ac:dyDescent="0.25">
      <c r="A4" s="90"/>
      <c r="B4" s="90"/>
      <c r="C4" s="90"/>
      <c r="D4" s="90"/>
      <c r="E4" s="90"/>
      <c r="F4" s="90"/>
      <c r="G4" s="90"/>
      <c r="H4" s="90"/>
      <c r="I4" s="90"/>
      <c r="J4" s="90"/>
      <c r="K4" s="90"/>
      <c r="L4" s="90"/>
      <c r="M4" s="90"/>
      <c r="N4" s="90"/>
    </row>
    <row r="5" spans="1:14" x14ac:dyDescent="0.25">
      <c r="A5" s="90"/>
      <c r="B5" s="90"/>
      <c r="C5" s="90"/>
      <c r="D5" s="90"/>
      <c r="E5" s="90"/>
      <c r="F5" s="90"/>
      <c r="G5" s="90"/>
      <c r="H5" s="90"/>
      <c r="I5" s="90"/>
      <c r="J5" s="90"/>
      <c r="K5" s="90"/>
      <c r="L5" s="90"/>
      <c r="M5" s="90"/>
      <c r="N5" s="90"/>
    </row>
    <row r="6" spans="1:14" s="37" customFormat="1" x14ac:dyDescent="0.25">
      <c r="A6" s="90"/>
      <c r="B6" s="90"/>
      <c r="C6" s="90"/>
      <c r="D6" s="90"/>
      <c r="E6" s="90"/>
      <c r="F6" s="90"/>
      <c r="G6" s="90"/>
      <c r="H6" s="90"/>
      <c r="I6" s="90"/>
      <c r="J6" s="90"/>
      <c r="K6" s="90"/>
      <c r="L6" s="90"/>
      <c r="M6" s="90"/>
      <c r="N6" s="90"/>
    </row>
    <row r="7" spans="1:14" ht="15.75" x14ac:dyDescent="0.25">
      <c r="A7" s="90"/>
      <c r="B7" s="91" t="s">
        <v>124</v>
      </c>
      <c r="C7" s="91" t="s">
        <v>125</v>
      </c>
      <c r="D7" s="90"/>
      <c r="E7" s="90"/>
      <c r="F7" s="90"/>
      <c r="G7" s="93" t="s">
        <v>6</v>
      </c>
      <c r="H7" s="93" t="s">
        <v>126</v>
      </c>
      <c r="I7" s="94" t="s">
        <v>127</v>
      </c>
      <c r="J7" s="90"/>
      <c r="K7" s="90"/>
      <c r="L7" s="39" t="s">
        <v>9</v>
      </c>
      <c r="M7" s="40">
        <f>I8</f>
        <v>0.6210790464240904</v>
      </c>
      <c r="N7" s="90"/>
    </row>
    <row r="8" spans="1:14" ht="15.75" x14ac:dyDescent="0.25">
      <c r="A8" s="90"/>
      <c r="B8" s="41" t="s">
        <v>128</v>
      </c>
      <c r="C8" s="42">
        <v>18</v>
      </c>
      <c r="D8" s="92"/>
      <c r="E8" s="43" t="s">
        <v>128</v>
      </c>
      <c r="F8" s="44">
        <v>18</v>
      </c>
      <c r="G8" s="45">
        <v>0.33</v>
      </c>
      <c r="H8" s="46">
        <f>F8*G8</f>
        <v>5.94</v>
      </c>
      <c r="I8" s="47">
        <f>H8/H$12</f>
        <v>0.6210790464240904</v>
      </c>
      <c r="J8" s="90"/>
      <c r="K8" s="90"/>
      <c r="L8" s="48" t="s">
        <v>13</v>
      </c>
      <c r="M8" s="40">
        <f>0</f>
        <v>0</v>
      </c>
      <c r="N8" s="90"/>
    </row>
    <row r="9" spans="1:14" ht="15.75" x14ac:dyDescent="0.25">
      <c r="A9" s="90"/>
      <c r="B9" s="41" t="s">
        <v>129</v>
      </c>
      <c r="C9" s="42">
        <v>10</v>
      </c>
      <c r="D9" s="92"/>
      <c r="E9" s="43" t="s">
        <v>129</v>
      </c>
      <c r="F9" s="44">
        <v>10</v>
      </c>
      <c r="G9" s="45">
        <v>0.25</v>
      </c>
      <c r="H9" s="46">
        <f t="shared" ref="H9:H24" si="0">F9*G9</f>
        <v>2.5</v>
      </c>
      <c r="I9" s="47">
        <f t="shared" ref="I9:I11" si="1">H9/H$12</f>
        <v>0.26139690506064406</v>
      </c>
      <c r="J9" s="90"/>
      <c r="K9" s="90"/>
      <c r="L9" s="48" t="s">
        <v>17</v>
      </c>
      <c r="M9" s="40">
        <f>I9</f>
        <v>0.26139690506064406</v>
      </c>
      <c r="N9" s="90"/>
    </row>
    <row r="10" spans="1:14" ht="15.75" x14ac:dyDescent="0.25">
      <c r="A10" s="90"/>
      <c r="B10" s="41" t="s">
        <v>130</v>
      </c>
      <c r="C10" s="42">
        <v>1</v>
      </c>
      <c r="D10" s="92"/>
      <c r="E10" s="43" t="s">
        <v>130</v>
      </c>
      <c r="F10" s="44">
        <v>1</v>
      </c>
      <c r="G10" s="45">
        <v>0.86</v>
      </c>
      <c r="H10" s="46">
        <f t="shared" si="0"/>
        <v>0.86</v>
      </c>
      <c r="I10" s="47">
        <f t="shared" si="1"/>
        <v>8.9920535340861557E-2</v>
      </c>
      <c r="J10" s="90"/>
      <c r="K10" s="90"/>
      <c r="L10" s="48" t="s">
        <v>21</v>
      </c>
      <c r="M10" s="40">
        <f>0</f>
        <v>0</v>
      </c>
      <c r="N10" s="90"/>
    </row>
    <row r="11" spans="1:14" ht="15.75" x14ac:dyDescent="0.25">
      <c r="A11" s="90"/>
      <c r="B11" s="41" t="s">
        <v>131</v>
      </c>
      <c r="C11" s="42">
        <v>0.3</v>
      </c>
      <c r="D11" s="92"/>
      <c r="E11" s="43" t="s">
        <v>131</v>
      </c>
      <c r="F11" s="44">
        <v>0.3</v>
      </c>
      <c r="G11" s="45">
        <v>0.88</v>
      </c>
      <c r="H11" s="46">
        <f t="shared" si="0"/>
        <v>0.26400000000000001</v>
      </c>
      <c r="I11" s="47">
        <f t="shared" si="1"/>
        <v>2.7603513174404015E-2</v>
      </c>
      <c r="J11" s="90"/>
      <c r="K11" s="90"/>
      <c r="L11" s="48" t="s">
        <v>25</v>
      </c>
      <c r="M11" s="40">
        <f>I10+I11</f>
        <v>0.11752404851526557</v>
      </c>
      <c r="N11" s="90"/>
    </row>
    <row r="12" spans="1:14" ht="15.75" x14ac:dyDescent="0.25">
      <c r="A12" s="90"/>
      <c r="B12" s="41" t="s">
        <v>132</v>
      </c>
      <c r="C12" s="42">
        <v>5</v>
      </c>
      <c r="D12" s="92"/>
      <c r="H12" s="49">
        <f>SUM(H8:H11)</f>
        <v>9.5640000000000001</v>
      </c>
      <c r="I12" s="38" t="s">
        <v>133</v>
      </c>
      <c r="J12" s="50">
        <f>H12/H26</f>
        <v>0.42265759352271498</v>
      </c>
      <c r="K12" s="90" t="s">
        <v>134</v>
      </c>
      <c r="L12" s="51" t="s">
        <v>29</v>
      </c>
      <c r="M12" s="40">
        <f>0</f>
        <v>0</v>
      </c>
      <c r="N12" s="90"/>
    </row>
    <row r="13" spans="1:14" ht="15.75" x14ac:dyDescent="0.25">
      <c r="A13" s="90"/>
      <c r="B13" s="41" t="s">
        <v>135</v>
      </c>
      <c r="C13" s="42">
        <v>6</v>
      </c>
      <c r="D13" s="92"/>
      <c r="E13" s="52" t="s">
        <v>132</v>
      </c>
      <c r="F13" s="53">
        <v>5</v>
      </c>
      <c r="G13" s="45">
        <v>0.20499999999999999</v>
      </c>
      <c r="H13" s="54">
        <f t="shared" si="0"/>
        <v>1.0249999999999999</v>
      </c>
      <c r="I13" s="55">
        <f>H13/H$25</f>
        <v>7.8458412372210379E-2</v>
      </c>
      <c r="J13" s="90"/>
      <c r="K13" s="90"/>
      <c r="L13" s="51" t="s">
        <v>33</v>
      </c>
      <c r="M13" s="40">
        <f>I13+I15+I16+I17</f>
        <v>0.51647802712839297</v>
      </c>
      <c r="N13" s="90"/>
    </row>
    <row r="14" spans="1:14" ht="15.75" x14ac:dyDescent="0.25">
      <c r="A14" s="90"/>
      <c r="B14" s="41" t="s">
        <v>136</v>
      </c>
      <c r="C14" s="42">
        <v>4.26</v>
      </c>
      <c r="D14" s="92"/>
      <c r="E14" s="52" t="s">
        <v>135</v>
      </c>
      <c r="F14" s="53">
        <v>6</v>
      </c>
      <c r="G14" s="45">
        <v>0.86</v>
      </c>
      <c r="H14" s="54">
        <f t="shared" si="0"/>
        <v>5.16</v>
      </c>
      <c r="I14" s="55">
        <f t="shared" ref="I14:I24" si="2">H14/H$25</f>
        <v>0.39497112960059083</v>
      </c>
      <c r="J14" s="90"/>
      <c r="K14" s="90"/>
      <c r="L14" s="51" t="s">
        <v>37</v>
      </c>
      <c r="M14" s="40">
        <f>I14</f>
        <v>0.39497112960059083</v>
      </c>
      <c r="N14" s="90"/>
    </row>
    <row r="15" spans="1:14" ht="15.75" x14ac:dyDescent="0.25">
      <c r="A15" s="90"/>
      <c r="B15" s="41" t="s">
        <v>137</v>
      </c>
      <c r="C15" s="42">
        <v>1.3</v>
      </c>
      <c r="D15" s="92"/>
      <c r="E15" s="52" t="s">
        <v>136</v>
      </c>
      <c r="F15" s="53">
        <v>4.26</v>
      </c>
      <c r="G15" s="45">
        <v>0.89100000000000001</v>
      </c>
      <c r="H15" s="54">
        <f t="shared" si="0"/>
        <v>3.7956599999999998</v>
      </c>
      <c r="I15" s="55">
        <f t="shared" si="2"/>
        <v>0.29053800732166252</v>
      </c>
      <c r="J15" s="90"/>
      <c r="K15" s="90"/>
      <c r="L15" s="51" t="s">
        <v>41</v>
      </c>
      <c r="M15" s="40">
        <f>I18+I19+I20+I21+I22+I23+I24</f>
        <v>8.8550843271016186E-2</v>
      </c>
      <c r="N15" s="90"/>
    </row>
    <row r="16" spans="1:14" x14ac:dyDescent="0.25">
      <c r="A16" s="90"/>
      <c r="B16" s="41" t="s">
        <v>138</v>
      </c>
      <c r="C16" s="42">
        <v>0.83799999999999997</v>
      </c>
      <c r="D16" s="92"/>
      <c r="E16" s="52" t="s">
        <v>137</v>
      </c>
      <c r="F16" s="53">
        <v>1.3</v>
      </c>
      <c r="G16" s="45">
        <v>0.92</v>
      </c>
      <c r="H16" s="54">
        <f t="shared" si="0"/>
        <v>1.1960000000000002</v>
      </c>
      <c r="I16" s="55">
        <f t="shared" si="2"/>
        <v>9.1547571899671845E-2</v>
      </c>
      <c r="J16" s="90"/>
      <c r="K16" s="90"/>
      <c r="L16" s="90"/>
      <c r="M16" s="90"/>
      <c r="N16" s="90"/>
    </row>
    <row r="17" spans="1:14" x14ac:dyDescent="0.25">
      <c r="A17" s="90"/>
      <c r="B17" s="41" t="s">
        <v>139</v>
      </c>
      <c r="C17" s="42">
        <v>1.2E-2</v>
      </c>
      <c r="D17" s="92"/>
      <c r="E17" s="52" t="s">
        <v>138</v>
      </c>
      <c r="F17" s="53">
        <v>0.83799999999999997</v>
      </c>
      <c r="G17" s="45">
        <v>0.872</v>
      </c>
      <c r="H17" s="54">
        <f t="shared" si="0"/>
        <v>0.73073599999999994</v>
      </c>
      <c r="I17" s="55">
        <f t="shared" si="2"/>
        <v>5.5934035534848318E-2</v>
      </c>
      <c r="J17" s="90"/>
      <c r="K17" s="90"/>
      <c r="L17" s="90"/>
      <c r="M17" s="90"/>
      <c r="N17" s="90"/>
    </row>
    <row r="18" spans="1:14" x14ac:dyDescent="0.25">
      <c r="A18" s="90"/>
      <c r="B18" s="41" t="s">
        <v>140</v>
      </c>
      <c r="C18" s="42">
        <v>0.33400000000000002</v>
      </c>
      <c r="D18" s="92"/>
      <c r="E18" s="52" t="s">
        <v>139</v>
      </c>
      <c r="F18" s="53">
        <v>1.2E-2</v>
      </c>
      <c r="G18" s="45">
        <v>0.9</v>
      </c>
      <c r="H18" s="54">
        <f t="shared" si="0"/>
        <v>1.0800000000000001E-2</v>
      </c>
      <c r="I18" s="55">
        <f t="shared" si="2"/>
        <v>8.266837596291437E-4</v>
      </c>
      <c r="J18" s="90"/>
      <c r="K18" s="90"/>
      <c r="L18" s="90"/>
      <c r="M18" s="90"/>
      <c r="N18" s="90"/>
    </row>
    <row r="19" spans="1:14" x14ac:dyDescent="0.25">
      <c r="A19" s="90"/>
      <c r="B19" s="41" t="s">
        <v>141</v>
      </c>
      <c r="C19" s="42">
        <v>0.60299999999999998</v>
      </c>
      <c r="D19" s="92"/>
      <c r="E19" s="52" t="s">
        <v>140</v>
      </c>
      <c r="F19" s="53">
        <v>0.33400000000000002</v>
      </c>
      <c r="G19" s="45">
        <v>0.997</v>
      </c>
      <c r="H19" s="54">
        <f t="shared" si="0"/>
        <v>0.33299800000000002</v>
      </c>
      <c r="I19" s="55">
        <f t="shared" si="2"/>
        <v>2.5489262832313481E-2</v>
      </c>
      <c r="J19" s="90"/>
      <c r="K19" s="90"/>
      <c r="L19" s="90"/>
      <c r="M19" s="90"/>
      <c r="N19" s="90"/>
    </row>
    <row r="20" spans="1:14" x14ac:dyDescent="0.25">
      <c r="A20" s="90"/>
      <c r="B20" s="41" t="s">
        <v>142</v>
      </c>
      <c r="C20" s="42">
        <v>1.54E-2</v>
      </c>
      <c r="D20" s="92"/>
      <c r="E20" s="52" t="s">
        <v>141</v>
      </c>
      <c r="F20" s="53">
        <v>0.60299999999999998</v>
      </c>
      <c r="G20" s="45">
        <v>1</v>
      </c>
      <c r="H20" s="54">
        <f t="shared" si="0"/>
        <v>0.60299999999999998</v>
      </c>
      <c r="I20" s="55">
        <f t="shared" si="2"/>
        <v>4.6156509912627181E-2</v>
      </c>
      <c r="J20" s="90"/>
      <c r="K20" s="90"/>
      <c r="L20" s="90"/>
      <c r="M20" s="90"/>
      <c r="N20" s="90"/>
    </row>
    <row r="21" spans="1:14" x14ac:dyDescent="0.25">
      <c r="A21" s="90"/>
      <c r="B21" s="41" t="s">
        <v>143</v>
      </c>
      <c r="C21" s="42">
        <v>0.12</v>
      </c>
      <c r="D21" s="92"/>
      <c r="E21" s="52" t="s">
        <v>142</v>
      </c>
      <c r="F21" s="53">
        <v>1.54E-2</v>
      </c>
      <c r="G21" s="45">
        <v>1</v>
      </c>
      <c r="H21" s="54">
        <f t="shared" si="0"/>
        <v>1.54E-2</v>
      </c>
      <c r="I21" s="55">
        <f t="shared" si="2"/>
        <v>1.1787898053971122E-3</v>
      </c>
      <c r="J21" s="90"/>
      <c r="K21" s="90"/>
      <c r="L21" s="90"/>
      <c r="M21" s="90"/>
      <c r="N21" s="90"/>
    </row>
    <row r="22" spans="1:14" x14ac:dyDescent="0.25">
      <c r="A22" s="90"/>
      <c r="B22" s="41" t="s">
        <v>144</v>
      </c>
      <c r="C22" s="42">
        <v>1.7399999999999999E-2</v>
      </c>
      <c r="D22" s="92"/>
      <c r="E22" s="52" t="s">
        <v>143</v>
      </c>
      <c r="F22" s="53">
        <v>0.12</v>
      </c>
      <c r="G22" s="45">
        <v>0.98</v>
      </c>
      <c r="H22" s="54">
        <f t="shared" si="0"/>
        <v>0.1176</v>
      </c>
      <c r="I22" s="55">
        <f t="shared" si="2"/>
        <v>9.0016676048506744E-3</v>
      </c>
      <c r="J22" s="90"/>
      <c r="K22" s="90"/>
      <c r="L22" s="90"/>
      <c r="M22" s="90"/>
      <c r="N22" s="90"/>
    </row>
    <row r="23" spans="1:14" x14ac:dyDescent="0.25">
      <c r="A23" s="90"/>
      <c r="B23" s="41" t="s">
        <v>145</v>
      </c>
      <c r="C23" s="42">
        <v>0.06</v>
      </c>
      <c r="D23" s="92"/>
      <c r="E23" s="52" t="s">
        <v>144</v>
      </c>
      <c r="F23" s="53">
        <v>1.7399999999999999E-2</v>
      </c>
      <c r="G23" s="45">
        <v>0.98</v>
      </c>
      <c r="H23" s="54">
        <f t="shared" si="0"/>
        <v>1.7051999999999998E-2</v>
      </c>
      <c r="I23" s="55">
        <f t="shared" si="2"/>
        <v>1.3052418027033478E-3</v>
      </c>
      <c r="J23" s="90"/>
      <c r="K23" s="90"/>
      <c r="L23" s="90"/>
      <c r="M23" s="90"/>
      <c r="N23" s="90"/>
    </row>
    <row r="24" spans="1:14" x14ac:dyDescent="0.25">
      <c r="A24" s="90"/>
      <c r="B24" s="90"/>
      <c r="C24" s="90"/>
      <c r="D24" s="90"/>
      <c r="E24" s="52" t="s">
        <v>145</v>
      </c>
      <c r="F24" s="53">
        <v>0.06</v>
      </c>
      <c r="G24" s="45">
        <v>1</v>
      </c>
      <c r="H24" s="54">
        <f t="shared" si="0"/>
        <v>0.06</v>
      </c>
      <c r="I24" s="55">
        <f t="shared" si="2"/>
        <v>4.5926875534952425E-3</v>
      </c>
      <c r="J24" s="90"/>
      <c r="K24" s="90"/>
      <c r="L24" s="90"/>
      <c r="M24" s="90"/>
      <c r="N24" s="90"/>
    </row>
    <row r="25" spans="1:14" x14ac:dyDescent="0.25">
      <c r="A25" s="90"/>
      <c r="B25" s="90"/>
      <c r="C25" s="90"/>
      <c r="D25" s="90"/>
      <c r="E25" s="90"/>
      <c r="F25" s="90"/>
      <c r="G25" s="90"/>
      <c r="H25" s="56">
        <f>SUM(H13:H24)</f>
        <v>13.064245999999999</v>
      </c>
      <c r="I25" s="38" t="s">
        <v>146</v>
      </c>
      <c r="J25" s="57">
        <f>H25/H26</f>
        <v>0.57734240647728508</v>
      </c>
      <c r="K25" s="90" t="s">
        <v>147</v>
      </c>
      <c r="L25" s="90"/>
      <c r="M25" s="90"/>
      <c r="N25" s="90"/>
    </row>
    <row r="26" spans="1:14" x14ac:dyDescent="0.25">
      <c r="A26" s="90"/>
      <c r="B26" s="90"/>
      <c r="C26" s="90"/>
      <c r="D26" s="90"/>
      <c r="E26" s="90"/>
      <c r="F26" s="90"/>
      <c r="G26" s="90"/>
      <c r="H26" s="58">
        <f>H12+H25</f>
        <v>22.628245999999997</v>
      </c>
      <c r="I26" s="38" t="s">
        <v>148</v>
      </c>
      <c r="J26" s="90"/>
      <c r="K26" s="90"/>
      <c r="L26" s="90"/>
      <c r="M26" s="90"/>
      <c r="N26" s="90"/>
    </row>
    <row r="27" spans="1:14" x14ac:dyDescent="0.25">
      <c r="A27" s="90"/>
      <c r="B27" s="90"/>
      <c r="C27" s="90"/>
      <c r="D27" s="90"/>
      <c r="E27" s="90"/>
      <c r="F27" s="90"/>
      <c r="G27" s="90"/>
      <c r="H27" s="90"/>
      <c r="I27" s="90"/>
      <c r="J27" s="90"/>
      <c r="K27" s="90"/>
      <c r="L27" s="90"/>
      <c r="M27" s="90"/>
      <c r="N27" s="90"/>
    </row>
    <row r="28" spans="1:14" x14ac:dyDescent="0.25">
      <c r="A28" s="90"/>
      <c r="B28" s="90"/>
      <c r="C28" s="90"/>
      <c r="D28" s="90"/>
      <c r="E28" s="90"/>
      <c r="F28" s="90"/>
      <c r="G28" s="90"/>
      <c r="H28" s="90"/>
      <c r="I28" s="90"/>
      <c r="J28" s="90"/>
      <c r="K28" s="90"/>
      <c r="L28" s="90"/>
      <c r="M28" s="90"/>
      <c r="N28" s="90"/>
    </row>
    <row r="29" spans="1:14" x14ac:dyDescent="0.25">
      <c r="A29" s="90"/>
      <c r="B29" s="90"/>
      <c r="C29" s="90"/>
      <c r="D29" s="90"/>
      <c r="E29" s="90"/>
      <c r="F29" s="90"/>
      <c r="G29" s="90"/>
      <c r="H29" s="90"/>
      <c r="I29" s="90"/>
      <c r="J29" s="90"/>
      <c r="K29" s="90"/>
      <c r="L29" s="90"/>
      <c r="M29" s="90"/>
      <c r="N29" s="90"/>
    </row>
    <row r="30" spans="1:14" x14ac:dyDescent="0.25">
      <c r="A30" s="90"/>
      <c r="B30" s="90"/>
      <c r="C30" s="90"/>
      <c r="D30" s="90"/>
      <c r="E30" s="90"/>
      <c r="F30" s="90"/>
      <c r="G30" s="90"/>
      <c r="H30" s="90"/>
      <c r="I30" s="90"/>
      <c r="J30" s="90"/>
      <c r="K30" s="90"/>
      <c r="L30" s="90"/>
      <c r="M30" s="90"/>
      <c r="N30" s="90"/>
    </row>
    <row r="31" spans="1:14" x14ac:dyDescent="0.25">
      <c r="A31" s="90"/>
      <c r="B31" s="90"/>
      <c r="C31" s="90"/>
      <c r="D31" s="90"/>
      <c r="E31" s="90"/>
      <c r="F31" s="90"/>
      <c r="G31" s="90"/>
      <c r="H31" s="90"/>
      <c r="I31" s="90"/>
      <c r="J31" s="90"/>
      <c r="K31" s="90"/>
      <c r="L31" s="90"/>
      <c r="M31" s="90"/>
      <c r="N31" s="90"/>
    </row>
    <row r="32" spans="1:14" s="37" customFormat="1" x14ac:dyDescent="0.25"/>
    <row r="33" s="37" customFormat="1" x14ac:dyDescent="0.25"/>
    <row r="34" s="37" customFormat="1" x14ac:dyDescent="0.25"/>
    <row r="35" s="59" customFormat="1" x14ac:dyDescent="0.25"/>
    <row r="36" s="59" customFormat="1" x14ac:dyDescent="0.25"/>
    <row r="37" s="59" customFormat="1" x14ac:dyDescent="0.25"/>
    <row r="38" s="59" customFormat="1" x14ac:dyDescent="0.25"/>
    <row r="39" s="59" customFormat="1" x14ac:dyDescent="0.25"/>
    <row r="40" s="59" customFormat="1" x14ac:dyDescent="0.25"/>
    <row r="41" s="59" customFormat="1" x14ac:dyDescent="0.25"/>
    <row r="42" s="59" customFormat="1" x14ac:dyDescent="0.25"/>
    <row r="43" s="59" customFormat="1" x14ac:dyDescent="0.25"/>
    <row r="44" s="59" customFormat="1" x14ac:dyDescent="0.25"/>
    <row r="45" s="59" customFormat="1" x14ac:dyDescent="0.25"/>
    <row r="46" s="59" customFormat="1" x14ac:dyDescent="0.25"/>
    <row r="47" s="59" customFormat="1" x14ac:dyDescent="0.25"/>
    <row r="48" s="59" customFormat="1" x14ac:dyDescent="0.25"/>
    <row r="49" s="59" customFormat="1" x14ac:dyDescent="0.25"/>
    <row r="50" s="59" customFormat="1" x14ac:dyDescent="0.25"/>
    <row r="51" s="59" customFormat="1" x14ac:dyDescent="0.25"/>
    <row r="52" s="59" customFormat="1" x14ac:dyDescent="0.25"/>
    <row r="53" s="59" customFormat="1" x14ac:dyDescent="0.25"/>
    <row r="54" s="59" customFormat="1" x14ac:dyDescent="0.25"/>
    <row r="55" s="59" customFormat="1" x14ac:dyDescent="0.25"/>
    <row r="56" s="59" customFormat="1" x14ac:dyDescent="0.25"/>
    <row r="57" s="59" customFormat="1" x14ac:dyDescent="0.25"/>
    <row r="58" s="59" customFormat="1" x14ac:dyDescent="0.25"/>
    <row r="59" s="59" customFormat="1" x14ac:dyDescent="0.25"/>
    <row r="60" s="59" customFormat="1" x14ac:dyDescent="0.25"/>
    <row r="61" s="59" customFormat="1" x14ac:dyDescent="0.25"/>
    <row r="62" s="59" customFormat="1" x14ac:dyDescent="0.25"/>
    <row r="63" s="59" customFormat="1" x14ac:dyDescent="0.25"/>
    <row r="64" s="59" customFormat="1" x14ac:dyDescent="0.25"/>
    <row r="65" s="59" customFormat="1" x14ac:dyDescent="0.25"/>
    <row r="66" customFormat="1" x14ac:dyDescent="0.25"/>
    <row r="67" customFormat="1" x14ac:dyDescent="0.25"/>
    <row r="68" customFormat="1" x14ac:dyDescent="0.25"/>
    <row r="69" customFormat="1" x14ac:dyDescent="0.25"/>
    <row r="70" customFormat="1" x14ac:dyDescent="0.25"/>
    <row r="71" customForma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Valoració unifeed</vt:lpstr>
      <vt:lpstr>Exemple unifeed</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 Segui</dc:creator>
  <cp:lastModifiedBy>Antoni Segui</cp:lastModifiedBy>
  <dcterms:created xsi:type="dcterms:W3CDTF">2013-08-21T15:49:35Z</dcterms:created>
  <dcterms:modified xsi:type="dcterms:W3CDTF">2013-10-31T17:17:01Z</dcterms:modified>
</cp:coreProperties>
</file>